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mmolainyane\Documents\"/>
    </mc:Choice>
  </mc:AlternateContent>
  <xr:revisionPtr revIDLastSave="0" documentId="8_{CE8F3C94-DE74-40A8-89D3-6530B867FDC6}" xr6:coauthVersionLast="47" xr6:coauthVersionMax="47" xr10:uidLastSave="{00000000-0000-0000-0000-000000000000}"/>
  <bookViews>
    <workbookView xWindow="-110" yWindow="-110" windowWidth="19420" windowHeight="10420" xr2:uid="{0C94C70D-3C95-4571-89C9-B7099A9AAE76}"/>
  </bookViews>
  <sheets>
    <sheet name="NBFIRA2024 STATISTICAL BULLETIN" sheetId="71" r:id="rId1"/>
    <sheet name="Contents" sheetId="14" r:id="rId2"/>
    <sheet name="Mandate" sheetId="44" r:id="rId3"/>
    <sheet name="2.1" sheetId="1" r:id="rId4"/>
    <sheet name="2.2" sheetId="2" r:id="rId5"/>
    <sheet name="2.3" sheetId="42" r:id="rId6"/>
    <sheet name="2.4" sheetId="62" r:id="rId7"/>
    <sheet name="2.5" sheetId="68" r:id="rId8"/>
    <sheet name="2.6" sheetId="69" r:id="rId9"/>
    <sheet name="3.01" sheetId="40" r:id="rId10"/>
    <sheet name="3.02" sheetId="39" r:id="rId11"/>
    <sheet name="3.03" sheetId="52" r:id="rId12"/>
    <sheet name="3.04" sheetId="63" r:id="rId13"/>
    <sheet name="3.11" sheetId="4" r:id="rId14"/>
    <sheet name="3.12" sheetId="5" r:id="rId15"/>
    <sheet name="3.21" sheetId="6" r:id="rId16"/>
    <sheet name="3.22" sheetId="7" r:id="rId17"/>
    <sheet name="3.31" sheetId="8" r:id="rId18"/>
    <sheet name="3.32" sheetId="9" r:id="rId19"/>
    <sheet name="3.41" sheetId="10" r:id="rId20"/>
    <sheet name="3.42" sheetId="11" r:id="rId21"/>
    <sheet name="3.51" sheetId="12" r:id="rId22"/>
    <sheet name="3.52" sheetId="57" r:id="rId23"/>
    <sheet name="4.11" sheetId="13" r:id="rId24"/>
    <sheet name="4.12" sheetId="15" r:id="rId25"/>
    <sheet name="4.13" sheetId="64" r:id="rId26"/>
    <sheet name="4.14" sheetId="67" r:id="rId27"/>
    <sheet name="5.01" sheetId="50" r:id="rId28"/>
    <sheet name="5.02" sheetId="51" r:id="rId29"/>
    <sheet name="5.03" sheetId="53" r:id="rId30"/>
    <sheet name="5.04" sheetId="65" r:id="rId31"/>
    <sheet name="5.11" sheetId="18" r:id="rId32"/>
    <sheet name="5.12" sheetId="19" r:id="rId33"/>
    <sheet name="5.13" sheetId="20" r:id="rId34"/>
    <sheet name="5.14" sheetId="54" r:id="rId35"/>
    <sheet name="5.15" sheetId="21" r:id="rId36"/>
    <sheet name="5.16" sheetId="55" r:id="rId37"/>
    <sheet name="5.17" sheetId="56" r:id="rId38"/>
    <sheet name="5.18" sheetId="58" r:id="rId39"/>
    <sheet name="6.01" sheetId="41" r:id="rId40"/>
    <sheet name="6.02" sheetId="48" r:id="rId41"/>
    <sheet name="6.03" sheetId="49" r:id="rId42"/>
    <sheet name="6.04" sheetId="66" r:id="rId43"/>
    <sheet name="6.05" sheetId="70" r:id="rId44"/>
    <sheet name="NBFIRAContacts" sheetId="60" r:id="rId45"/>
  </sheets>
  <definedNames>
    <definedName name="_Toc109903850" localSheetId="2">Mandate!$A$1</definedName>
    <definedName name="_Toc109903851" localSheetId="2">Mandate!$A$11</definedName>
    <definedName name="_Toc109903852" localSheetId="2">Mandate!$A$15</definedName>
    <definedName name="_Toc109903853" localSheetId="2">Mandate!$A$18</definedName>
    <definedName name="_Toc109903854" localSheetId="2">Mandate!$A$21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4" l="1"/>
  <c r="L18" i="52"/>
  <c r="L16" i="52" l="1"/>
  <c r="L24" i="6" l="1"/>
  <c r="B7" i="14" l="1"/>
  <c r="B67" i="14" l="1"/>
  <c r="K1" i="70"/>
  <c r="B66" i="14"/>
  <c r="B6" i="58"/>
  <c r="B5" i="58" s="1"/>
  <c r="B12" i="58"/>
  <c r="L26" i="52"/>
  <c r="K26" i="52"/>
  <c r="K10" i="52"/>
  <c r="L16" i="15" l="1"/>
  <c r="K16" i="15"/>
  <c r="B45" i="14"/>
  <c r="K1" i="67"/>
  <c r="B12" i="14"/>
  <c r="I1" i="69"/>
  <c r="B11" i="14"/>
  <c r="J1" i="68"/>
  <c r="F12" i="2"/>
  <c r="F17" i="2"/>
  <c r="G12" i="2" l="1"/>
  <c r="G17" i="2"/>
  <c r="H12" i="2" l="1"/>
  <c r="H17" i="2"/>
  <c r="I12" i="2" l="1"/>
  <c r="I17" i="2"/>
  <c r="J12" i="2" l="1"/>
  <c r="J17" i="2"/>
  <c r="K12" i="2" l="1"/>
  <c r="K17" i="2"/>
  <c r="L12" i="2" l="1"/>
  <c r="L17" i="2"/>
  <c r="L5" i="51" l="1"/>
  <c r="L8" i="2" s="1"/>
  <c r="Q23" i="58" l="1"/>
  <c r="Q24" i="58"/>
  <c r="L21" i="4" l="1"/>
  <c r="L10" i="52"/>
  <c r="L27" i="52"/>
  <c r="L25" i="52"/>
  <c r="L9" i="52"/>
  <c r="L17" i="52"/>
  <c r="L24" i="52"/>
  <c r="L23" i="52"/>
  <c r="L8" i="52"/>
  <c r="L22" i="52" l="1"/>
  <c r="L11" i="10" l="1"/>
  <c r="L7" i="10"/>
  <c r="L16" i="11" l="1"/>
  <c r="L17" i="9"/>
  <c r="L17" i="7"/>
  <c r="L17" i="5"/>
  <c r="L5" i="66"/>
  <c r="K5" i="66"/>
  <c r="J5" i="66"/>
  <c r="I5" i="66"/>
  <c r="H5" i="66"/>
  <c r="G5" i="66"/>
  <c r="F5" i="66"/>
  <c r="E5" i="66"/>
  <c r="D5" i="66"/>
  <c r="C5" i="66"/>
  <c r="B5" i="66"/>
  <c r="L5" i="65"/>
  <c r="K5" i="65"/>
  <c r="J5" i="65"/>
  <c r="I5" i="65"/>
  <c r="H5" i="65"/>
  <c r="G5" i="65"/>
  <c r="F5" i="65"/>
  <c r="E5" i="65"/>
  <c r="D5" i="65"/>
  <c r="C5" i="65"/>
  <c r="B5" i="65"/>
  <c r="L5" i="64"/>
  <c r="K5" i="64"/>
  <c r="J5" i="64"/>
  <c r="I5" i="64"/>
  <c r="H5" i="64"/>
  <c r="G5" i="64"/>
  <c r="F5" i="64"/>
  <c r="E5" i="64"/>
  <c r="D5" i="64"/>
  <c r="C5" i="64"/>
  <c r="B5" i="64"/>
  <c r="L5" i="63"/>
  <c r="K5" i="63"/>
  <c r="J5" i="63"/>
  <c r="I5" i="63"/>
  <c r="H5" i="63"/>
  <c r="G5" i="63"/>
  <c r="F5" i="63"/>
  <c r="E5" i="63"/>
  <c r="D5" i="63"/>
  <c r="C5" i="63"/>
  <c r="B5" i="63"/>
  <c r="L7" i="18"/>
  <c r="L13" i="51" l="1"/>
  <c r="L13" i="2" s="1"/>
  <c r="L21" i="51"/>
  <c r="L18" i="2" s="1"/>
  <c r="K8" i="1" l="1"/>
  <c r="B51" i="14"/>
  <c r="B44" i="14"/>
  <c r="B19" i="14"/>
  <c r="L6" i="62"/>
  <c r="K1" i="66"/>
  <c r="K1" i="65"/>
  <c r="K1" i="64"/>
  <c r="K1" i="63"/>
  <c r="L1" i="62"/>
  <c r="L9" i="62"/>
  <c r="K9" i="62"/>
  <c r="L8" i="62"/>
  <c r="K8" i="62"/>
  <c r="L7" i="62"/>
  <c r="K7" i="62"/>
  <c r="K6" i="62"/>
  <c r="L5" i="53"/>
  <c r="L8" i="42" s="1"/>
  <c r="L13" i="53"/>
  <c r="L13" i="42" s="1"/>
  <c r="L21" i="53"/>
  <c r="L18" i="42" s="1"/>
  <c r="L12" i="49"/>
  <c r="L13" i="49" s="1"/>
  <c r="L8" i="49"/>
  <c r="L10" i="48"/>
  <c r="L7" i="48"/>
  <c r="M5" i="41"/>
  <c r="M8" i="1" s="1"/>
  <c r="L12" i="58"/>
  <c r="L6" i="58"/>
  <c r="L5" i="58" s="1"/>
  <c r="M15" i="50"/>
  <c r="M6" i="50"/>
  <c r="L30" i="15"/>
  <c r="L24" i="15"/>
  <c r="L12" i="42"/>
  <c r="L12" i="15"/>
  <c r="L7" i="42" s="1"/>
  <c r="M10" i="13"/>
  <c r="M7" i="13"/>
  <c r="L26" i="39"/>
  <c r="L16" i="39"/>
  <c r="L8" i="39"/>
  <c r="L7" i="39"/>
  <c r="L14" i="39"/>
  <c r="L22" i="39"/>
  <c r="L15" i="52"/>
  <c r="L7" i="52"/>
  <c r="L6" i="52"/>
  <c r="L11" i="52"/>
  <c r="L19" i="52"/>
  <c r="L6" i="39"/>
  <c r="L9" i="39"/>
  <c r="L10" i="39"/>
  <c r="L17" i="39"/>
  <c r="L18" i="39"/>
  <c r="L23" i="39"/>
  <c r="L24" i="39"/>
  <c r="L25" i="39"/>
  <c r="M13" i="40"/>
  <c r="M5" i="40"/>
  <c r="L7" i="2"/>
  <c r="M5" i="1"/>
  <c r="O1" i="60"/>
  <c r="K13" i="48"/>
  <c r="F13" i="48"/>
  <c r="G13" i="48"/>
  <c r="H13" i="48"/>
  <c r="I13" i="48"/>
  <c r="J13" i="48"/>
  <c r="C13" i="48"/>
  <c r="D13" i="48"/>
  <c r="E13" i="48"/>
  <c r="B13" i="48"/>
  <c r="B5" i="62"/>
  <c r="C5" i="62"/>
  <c r="D5" i="62"/>
  <c r="E5" i="62"/>
  <c r="D14" i="42"/>
  <c r="E14" i="42"/>
  <c r="B9" i="39"/>
  <c r="B10" i="52"/>
  <c r="L5" i="52" l="1"/>
  <c r="L6" i="42" s="1"/>
  <c r="L14" i="52"/>
  <c r="L11" i="42" s="1"/>
  <c r="L10" i="42" s="1"/>
  <c r="L6" i="15"/>
  <c r="L11" i="48"/>
  <c r="L13" i="48" s="1"/>
  <c r="M6" i="13"/>
  <c r="M5" i="13" s="1"/>
  <c r="M6" i="1" s="1"/>
  <c r="L5" i="62"/>
  <c r="K5" i="62"/>
  <c r="M5" i="50"/>
  <c r="M7" i="1" s="1"/>
  <c r="M4" i="1" s="1"/>
  <c r="L15" i="39"/>
  <c r="L13" i="39" s="1"/>
  <c r="L11" i="2" s="1"/>
  <c r="L5" i="39"/>
  <c r="L6" i="2" s="1"/>
  <c r="L5" i="2" s="1"/>
  <c r="L21" i="39"/>
  <c r="L16" i="2" s="1"/>
  <c r="C10" i="48"/>
  <c r="D10" i="48"/>
  <c r="E10" i="48"/>
  <c r="F10" i="48"/>
  <c r="G10" i="48"/>
  <c r="H10" i="48"/>
  <c r="I10" i="48"/>
  <c r="J10" i="48"/>
  <c r="K10" i="48"/>
  <c r="B10" i="48"/>
  <c r="L16" i="42" l="1"/>
  <c r="L15" i="42" s="1"/>
  <c r="L5" i="42"/>
  <c r="L15" i="2"/>
  <c r="L10" i="2"/>
  <c r="C6" i="52"/>
  <c r="D6" i="52"/>
  <c r="E6" i="52"/>
  <c r="F6" i="52"/>
  <c r="G6" i="52"/>
  <c r="H6" i="52"/>
  <c r="I6" i="52"/>
  <c r="J6" i="52"/>
  <c r="B6" i="52"/>
  <c r="K6" i="52"/>
  <c r="J10" i="51" l="1"/>
  <c r="J11" i="51"/>
  <c r="J12" i="51"/>
  <c r="K10" i="51"/>
  <c r="K11" i="51"/>
  <c r="K12" i="51"/>
  <c r="H5" i="41"/>
  <c r="I5" i="41"/>
  <c r="K5" i="41"/>
  <c r="J5" i="40"/>
  <c r="C5" i="41"/>
  <c r="D5" i="41"/>
  <c r="E5" i="41"/>
  <c r="F5" i="41"/>
  <c r="G5" i="41"/>
  <c r="B5" i="41"/>
  <c r="J5" i="41"/>
  <c r="C7" i="13"/>
  <c r="D7" i="13"/>
  <c r="E7" i="13"/>
  <c r="E6" i="13" s="1"/>
  <c r="F7" i="13"/>
  <c r="G7" i="13"/>
  <c r="H7" i="13"/>
  <c r="I7" i="13"/>
  <c r="J7" i="13"/>
  <c r="K7" i="13"/>
  <c r="C10" i="13"/>
  <c r="D10" i="13"/>
  <c r="E10" i="13"/>
  <c r="F10" i="13"/>
  <c r="G10" i="13"/>
  <c r="H10" i="13"/>
  <c r="I10" i="13"/>
  <c r="J10" i="13"/>
  <c r="K10" i="13"/>
  <c r="B10" i="13"/>
  <c r="B7" i="13"/>
  <c r="L7" i="13"/>
  <c r="L6" i="13" s="1"/>
  <c r="L5" i="13" s="1"/>
  <c r="L6" i="1" s="1"/>
  <c r="L10" i="13"/>
  <c r="H13" i="54"/>
  <c r="I13" i="55"/>
  <c r="H13" i="55"/>
  <c r="F13" i="55"/>
  <c r="G13" i="55"/>
  <c r="J7" i="48"/>
  <c r="K7" i="48"/>
  <c r="D6" i="13" l="1"/>
  <c r="D5" i="13" s="1"/>
  <c r="C6" i="13"/>
  <c r="C5" i="13" s="1"/>
  <c r="K6" i="13"/>
  <c r="K5" i="13" s="1"/>
  <c r="H6" i="13"/>
  <c r="H5" i="13" s="1"/>
  <c r="B6" i="13"/>
  <c r="B5" i="13" s="1"/>
  <c r="B6" i="1"/>
  <c r="E5" i="13"/>
  <c r="E6" i="1"/>
  <c r="K6" i="1"/>
  <c r="H6" i="1"/>
  <c r="D6" i="1"/>
  <c r="F6" i="13"/>
  <c r="G6" i="13"/>
  <c r="G5" i="13" s="1"/>
  <c r="G6" i="1"/>
  <c r="J6" i="13"/>
  <c r="I6" i="13"/>
  <c r="I6" i="1" s="1"/>
  <c r="H7" i="48"/>
  <c r="E13" i="49"/>
  <c r="D13" i="49"/>
  <c r="C13" i="49"/>
  <c r="J11" i="48"/>
  <c r="J19" i="42" s="1"/>
  <c r="F5" i="62"/>
  <c r="G5" i="62"/>
  <c r="H5" i="62"/>
  <c r="J5" i="62"/>
  <c r="I5" i="62"/>
  <c r="B10" i="14"/>
  <c r="B53" i="14"/>
  <c r="H19" i="42"/>
  <c r="K11" i="48"/>
  <c r="K19" i="42" s="1"/>
  <c r="I7" i="48"/>
  <c r="I11" i="48" s="1"/>
  <c r="I19" i="42" s="1"/>
  <c r="G7" i="48"/>
  <c r="G11" i="48" s="1"/>
  <c r="G19" i="42" s="1"/>
  <c r="F7" i="48"/>
  <c r="F11" i="48" s="1"/>
  <c r="F19" i="42" s="1"/>
  <c r="E7" i="48"/>
  <c r="E11" i="48" s="1"/>
  <c r="E19" i="42" s="1"/>
  <c r="D7" i="48"/>
  <c r="D11" i="48" s="1"/>
  <c r="D19" i="42" s="1"/>
  <c r="C7" i="48"/>
  <c r="C11" i="48" s="1"/>
  <c r="C19" i="42" s="1"/>
  <c r="B7" i="48"/>
  <c r="B11" i="48" s="1"/>
  <c r="B19" i="42" s="1"/>
  <c r="B70" i="14"/>
  <c r="B4" i="14"/>
  <c r="C12" i="58"/>
  <c r="D12" i="58"/>
  <c r="E12" i="58"/>
  <c r="F12" i="58"/>
  <c r="G12" i="58"/>
  <c r="H12" i="58"/>
  <c r="I12" i="58"/>
  <c r="J12" i="58"/>
  <c r="K12" i="58"/>
  <c r="C6" i="58"/>
  <c r="C5" i="58" s="1"/>
  <c r="D6" i="58"/>
  <c r="D5" i="58" s="1"/>
  <c r="E6" i="58"/>
  <c r="F6" i="58"/>
  <c r="G6" i="58"/>
  <c r="H6" i="58"/>
  <c r="I6" i="58"/>
  <c r="J6" i="58"/>
  <c r="K6" i="58"/>
  <c r="C22" i="53"/>
  <c r="D22" i="53"/>
  <c r="E22" i="53"/>
  <c r="C23" i="53"/>
  <c r="D23" i="53"/>
  <c r="E23" i="53"/>
  <c r="C24" i="53"/>
  <c r="D24" i="53"/>
  <c r="E24" i="53"/>
  <c r="C25" i="53"/>
  <c r="D25" i="53"/>
  <c r="E25" i="53"/>
  <c r="C26" i="53"/>
  <c r="D26" i="53"/>
  <c r="E26" i="53"/>
  <c r="C27" i="53"/>
  <c r="D27" i="53"/>
  <c r="E27" i="53"/>
  <c r="C28" i="53"/>
  <c r="D28" i="53"/>
  <c r="E28" i="53"/>
  <c r="B28" i="53"/>
  <c r="B27" i="53"/>
  <c r="B26" i="53"/>
  <c r="B25" i="53"/>
  <c r="B24" i="53"/>
  <c r="B23" i="53"/>
  <c r="B22" i="53"/>
  <c r="C14" i="53"/>
  <c r="D14" i="53"/>
  <c r="E14" i="53"/>
  <c r="C15" i="53"/>
  <c r="D15" i="53"/>
  <c r="E15" i="53"/>
  <c r="C16" i="53"/>
  <c r="D16" i="53"/>
  <c r="E16" i="53"/>
  <c r="C17" i="53"/>
  <c r="D17" i="53"/>
  <c r="E17" i="53"/>
  <c r="C18" i="53"/>
  <c r="D18" i="53"/>
  <c r="E18" i="53"/>
  <c r="C19" i="53"/>
  <c r="D19" i="53"/>
  <c r="E19" i="53"/>
  <c r="C20" i="53"/>
  <c r="D20" i="53"/>
  <c r="E20" i="53"/>
  <c r="B20" i="53"/>
  <c r="B19" i="53"/>
  <c r="B18" i="53"/>
  <c r="B17" i="53"/>
  <c r="B16" i="53"/>
  <c r="B15" i="53"/>
  <c r="B14" i="53"/>
  <c r="C6" i="53"/>
  <c r="D6" i="53"/>
  <c r="E6" i="53"/>
  <c r="C7" i="53"/>
  <c r="D7" i="53"/>
  <c r="E7" i="53"/>
  <c r="C8" i="53"/>
  <c r="D8" i="53"/>
  <c r="E8" i="53"/>
  <c r="C9" i="53"/>
  <c r="D9" i="53"/>
  <c r="E9" i="53"/>
  <c r="C10" i="53"/>
  <c r="D10" i="53"/>
  <c r="E10" i="53"/>
  <c r="C11" i="53"/>
  <c r="D11" i="53"/>
  <c r="E11" i="53"/>
  <c r="C12" i="53"/>
  <c r="D12" i="53"/>
  <c r="E12" i="53"/>
  <c r="B12" i="53"/>
  <c r="B11" i="53"/>
  <c r="B10" i="53"/>
  <c r="B9" i="53"/>
  <c r="B8" i="53"/>
  <c r="B7" i="53"/>
  <c r="B6" i="53"/>
  <c r="F15" i="51"/>
  <c r="C6" i="51"/>
  <c r="D6" i="51"/>
  <c r="E6" i="51"/>
  <c r="F6" i="51"/>
  <c r="G6" i="51"/>
  <c r="H6" i="51"/>
  <c r="I6" i="51"/>
  <c r="J6" i="51"/>
  <c r="K6" i="51"/>
  <c r="K5" i="51" s="1"/>
  <c r="K8" i="2" s="1"/>
  <c r="C7" i="51"/>
  <c r="D7" i="51"/>
  <c r="E7" i="51"/>
  <c r="F7" i="51"/>
  <c r="G7" i="51"/>
  <c r="H7" i="51"/>
  <c r="I7" i="51"/>
  <c r="J7" i="51"/>
  <c r="K7" i="51"/>
  <c r="C8" i="51"/>
  <c r="D8" i="51"/>
  <c r="E8" i="51"/>
  <c r="F8" i="51"/>
  <c r="G8" i="51"/>
  <c r="H8" i="51"/>
  <c r="I8" i="51"/>
  <c r="J8" i="51"/>
  <c r="K8" i="51"/>
  <c r="C9" i="51"/>
  <c r="D9" i="51"/>
  <c r="E9" i="51"/>
  <c r="F9" i="51"/>
  <c r="G9" i="51"/>
  <c r="H9" i="51"/>
  <c r="I9" i="51"/>
  <c r="J9" i="51"/>
  <c r="K9" i="51"/>
  <c r="C10" i="51"/>
  <c r="D10" i="51"/>
  <c r="E10" i="51"/>
  <c r="F10" i="51"/>
  <c r="G10" i="51"/>
  <c r="H10" i="51"/>
  <c r="I10" i="51"/>
  <c r="C11" i="51"/>
  <c r="D11" i="51"/>
  <c r="E11" i="51"/>
  <c r="F11" i="51"/>
  <c r="G11" i="51"/>
  <c r="H11" i="51"/>
  <c r="I11" i="51"/>
  <c r="C12" i="51"/>
  <c r="D12" i="51"/>
  <c r="E12" i="51"/>
  <c r="F12" i="51"/>
  <c r="G12" i="51"/>
  <c r="H12" i="51"/>
  <c r="I12" i="51"/>
  <c r="C14" i="51"/>
  <c r="D14" i="51"/>
  <c r="E14" i="51"/>
  <c r="F14" i="51"/>
  <c r="G14" i="51"/>
  <c r="H14" i="51"/>
  <c r="I14" i="51"/>
  <c r="J14" i="51"/>
  <c r="K14" i="51"/>
  <c r="C15" i="51"/>
  <c r="D15" i="51"/>
  <c r="E15" i="51"/>
  <c r="G15" i="51"/>
  <c r="H15" i="51"/>
  <c r="I15" i="51"/>
  <c r="J15" i="51"/>
  <c r="K15" i="51"/>
  <c r="C16" i="51"/>
  <c r="D16" i="51"/>
  <c r="E16" i="51"/>
  <c r="F16" i="51"/>
  <c r="G16" i="51"/>
  <c r="H16" i="51"/>
  <c r="I16" i="51"/>
  <c r="J16" i="51"/>
  <c r="K16" i="51"/>
  <c r="C17" i="51"/>
  <c r="D17" i="51"/>
  <c r="E17" i="51"/>
  <c r="F17" i="51"/>
  <c r="G17" i="51"/>
  <c r="H17" i="51"/>
  <c r="I17" i="51"/>
  <c r="J17" i="51"/>
  <c r="K17" i="51"/>
  <c r="C18" i="51"/>
  <c r="D18" i="51"/>
  <c r="E18" i="51"/>
  <c r="F18" i="51"/>
  <c r="G18" i="51"/>
  <c r="H18" i="51"/>
  <c r="I18" i="51"/>
  <c r="J18" i="51"/>
  <c r="K18" i="51"/>
  <c r="C19" i="51"/>
  <c r="D19" i="51"/>
  <c r="E19" i="51"/>
  <c r="F19" i="51"/>
  <c r="G19" i="51"/>
  <c r="H19" i="51"/>
  <c r="I19" i="51"/>
  <c r="J19" i="51"/>
  <c r="K19" i="51"/>
  <c r="C20" i="51"/>
  <c r="D20" i="51"/>
  <c r="E20" i="51"/>
  <c r="F20" i="51"/>
  <c r="G20" i="51"/>
  <c r="H20" i="51"/>
  <c r="I20" i="51"/>
  <c r="J20" i="51"/>
  <c r="K20" i="51"/>
  <c r="C22" i="51"/>
  <c r="D22" i="51"/>
  <c r="E22" i="51"/>
  <c r="F22" i="51"/>
  <c r="G22" i="51"/>
  <c r="H22" i="51"/>
  <c r="I22" i="51"/>
  <c r="J22" i="51"/>
  <c r="K22" i="51"/>
  <c r="C23" i="51"/>
  <c r="D23" i="51"/>
  <c r="E23" i="51"/>
  <c r="F23" i="51"/>
  <c r="G23" i="51"/>
  <c r="H23" i="51"/>
  <c r="I23" i="51"/>
  <c r="J23" i="51"/>
  <c r="K23" i="51"/>
  <c r="C24" i="51"/>
  <c r="D24" i="51"/>
  <c r="E24" i="51"/>
  <c r="F24" i="51"/>
  <c r="G24" i="51"/>
  <c r="H24" i="51"/>
  <c r="I24" i="51"/>
  <c r="J24" i="51"/>
  <c r="K24" i="51"/>
  <c r="C25" i="51"/>
  <c r="D25" i="51"/>
  <c r="E25" i="51"/>
  <c r="F25" i="51"/>
  <c r="G25" i="51"/>
  <c r="H25" i="51"/>
  <c r="I25" i="51"/>
  <c r="J25" i="51"/>
  <c r="K25" i="51"/>
  <c r="C26" i="51"/>
  <c r="D26" i="51"/>
  <c r="E26" i="51"/>
  <c r="F26" i="51"/>
  <c r="G26" i="51"/>
  <c r="H26" i="51"/>
  <c r="I26" i="51"/>
  <c r="J26" i="51"/>
  <c r="K26" i="51"/>
  <c r="C27" i="51"/>
  <c r="D27" i="51"/>
  <c r="E27" i="51"/>
  <c r="F27" i="51"/>
  <c r="G27" i="51"/>
  <c r="H27" i="51"/>
  <c r="I27" i="51"/>
  <c r="J27" i="51"/>
  <c r="K27" i="51"/>
  <c r="C28" i="51"/>
  <c r="D28" i="51"/>
  <c r="E28" i="51"/>
  <c r="F28" i="51"/>
  <c r="G28" i="51"/>
  <c r="H28" i="51"/>
  <c r="I28" i="51"/>
  <c r="J28" i="51"/>
  <c r="K28" i="51"/>
  <c r="B28" i="51"/>
  <c r="B27" i="51"/>
  <c r="B26" i="51"/>
  <c r="B25" i="51"/>
  <c r="B24" i="51"/>
  <c r="B23" i="51"/>
  <c r="B22" i="51"/>
  <c r="B20" i="51"/>
  <c r="B19" i="51"/>
  <c r="B18" i="51"/>
  <c r="B17" i="51"/>
  <c r="B16" i="51"/>
  <c r="B15" i="51"/>
  <c r="B14" i="51"/>
  <c r="B12" i="51"/>
  <c r="B11" i="51"/>
  <c r="B10" i="51"/>
  <c r="B9" i="51"/>
  <c r="B8" i="51"/>
  <c r="B7" i="51"/>
  <c r="B6" i="51"/>
  <c r="B57" i="14"/>
  <c r="B56" i="14"/>
  <c r="B60" i="14"/>
  <c r="B59" i="14"/>
  <c r="B58" i="14"/>
  <c r="B55" i="14"/>
  <c r="B54" i="14"/>
  <c r="B5" i="40"/>
  <c r="B5" i="1" s="1"/>
  <c r="B8" i="1"/>
  <c r="C25" i="39"/>
  <c r="D25" i="39"/>
  <c r="E25" i="39"/>
  <c r="B25" i="39"/>
  <c r="C17" i="39"/>
  <c r="D17" i="39"/>
  <c r="E17" i="39"/>
  <c r="B17" i="39"/>
  <c r="C9" i="39"/>
  <c r="D9" i="39"/>
  <c r="E9" i="39"/>
  <c r="C16" i="52"/>
  <c r="D16" i="52"/>
  <c r="E16" i="52"/>
  <c r="C17" i="52"/>
  <c r="D17" i="52"/>
  <c r="E17" i="52"/>
  <c r="C18" i="52"/>
  <c r="D18" i="52"/>
  <c r="E18" i="52"/>
  <c r="B16" i="52"/>
  <c r="B17" i="52"/>
  <c r="B18" i="52"/>
  <c r="C8" i="52"/>
  <c r="C24" i="52" s="1"/>
  <c r="D8" i="52"/>
  <c r="E8" i="52"/>
  <c r="C9" i="52"/>
  <c r="D9" i="52"/>
  <c r="D25" i="52" s="1"/>
  <c r="E9" i="52"/>
  <c r="E25" i="52" s="1"/>
  <c r="C10" i="52"/>
  <c r="D10" i="52"/>
  <c r="E10" i="52"/>
  <c r="B8" i="52"/>
  <c r="B24" i="52" s="1"/>
  <c r="B9" i="52"/>
  <c r="B25" i="52" s="1"/>
  <c r="F7" i="2"/>
  <c r="G7" i="2"/>
  <c r="H7" i="2"/>
  <c r="I7" i="2"/>
  <c r="J7" i="2"/>
  <c r="K7" i="2"/>
  <c r="C7" i="2"/>
  <c r="D7" i="2"/>
  <c r="E7" i="2"/>
  <c r="C30" i="15"/>
  <c r="D30" i="15"/>
  <c r="E30" i="15"/>
  <c r="F30" i="15"/>
  <c r="G30" i="15"/>
  <c r="H30" i="15"/>
  <c r="I30" i="15"/>
  <c r="I31" i="15" s="1"/>
  <c r="J30" i="15"/>
  <c r="J31" i="15" s="1"/>
  <c r="K30" i="15"/>
  <c r="B30" i="15"/>
  <c r="C24" i="15"/>
  <c r="C6" i="15" s="1"/>
  <c r="D24" i="15"/>
  <c r="E24" i="15"/>
  <c r="F24" i="15"/>
  <c r="G24" i="15"/>
  <c r="H24" i="15"/>
  <c r="H6" i="15" s="1"/>
  <c r="H31" i="15" s="1"/>
  <c r="I24" i="15"/>
  <c r="I6" i="15" s="1"/>
  <c r="J24" i="15"/>
  <c r="K24" i="15"/>
  <c r="K6" i="15" s="1"/>
  <c r="K31" i="15" s="1"/>
  <c r="B24" i="15"/>
  <c r="B6" i="15" s="1"/>
  <c r="B31" i="15" s="1"/>
  <c r="C16" i="15"/>
  <c r="D16" i="15"/>
  <c r="E16" i="15"/>
  <c r="E12" i="42" s="1"/>
  <c r="F16" i="15"/>
  <c r="G16" i="15"/>
  <c r="H16" i="15"/>
  <c r="I16" i="15"/>
  <c r="J16" i="15"/>
  <c r="B16" i="15"/>
  <c r="B12" i="42" s="1"/>
  <c r="J6" i="15"/>
  <c r="J32" i="15" s="1"/>
  <c r="B7" i="2"/>
  <c r="B13" i="49"/>
  <c r="E8" i="1"/>
  <c r="D8" i="1"/>
  <c r="C8" i="1"/>
  <c r="E15" i="50"/>
  <c r="D15" i="50"/>
  <c r="C15" i="50"/>
  <c r="B15" i="50"/>
  <c r="E6" i="50"/>
  <c r="D6" i="50"/>
  <c r="C6" i="50"/>
  <c r="E5" i="50"/>
  <c r="E7" i="1" s="1"/>
  <c r="D5" i="50"/>
  <c r="D7" i="1" s="1"/>
  <c r="C5" i="50"/>
  <c r="C7" i="1" s="1"/>
  <c r="B6" i="50"/>
  <c r="B5" i="50" s="1"/>
  <c r="B7" i="1" s="1"/>
  <c r="E12" i="15"/>
  <c r="D12" i="15"/>
  <c r="C12" i="15"/>
  <c r="B12" i="15"/>
  <c r="E15" i="11"/>
  <c r="E18" i="39" s="1"/>
  <c r="D15" i="11"/>
  <c r="D18" i="39" s="1"/>
  <c r="C15" i="11"/>
  <c r="C18" i="39" s="1"/>
  <c r="B15" i="11"/>
  <c r="B18" i="39" s="1"/>
  <c r="E12" i="11"/>
  <c r="E26" i="39" s="1"/>
  <c r="D12" i="11"/>
  <c r="D26" i="39" s="1"/>
  <c r="C12" i="11"/>
  <c r="C26" i="39" s="1"/>
  <c r="B12" i="11"/>
  <c r="B26" i="39" s="1"/>
  <c r="E8" i="11"/>
  <c r="E10" i="39" s="1"/>
  <c r="D8" i="11"/>
  <c r="D10" i="39" s="1"/>
  <c r="C8" i="11"/>
  <c r="C10" i="39" s="1"/>
  <c r="B8" i="11"/>
  <c r="B10" i="39" s="1"/>
  <c r="E11" i="10"/>
  <c r="E19" i="52" s="1"/>
  <c r="D11" i="10"/>
  <c r="D19" i="52" s="1"/>
  <c r="C11" i="10"/>
  <c r="C19" i="52" s="1"/>
  <c r="B11" i="10"/>
  <c r="B19" i="52" s="1"/>
  <c r="E7" i="10"/>
  <c r="E11" i="52" s="1"/>
  <c r="D7" i="10"/>
  <c r="D11" i="52" s="1"/>
  <c r="D27" i="52" s="1"/>
  <c r="C7" i="10"/>
  <c r="C11" i="52" s="1"/>
  <c r="C27" i="52" s="1"/>
  <c r="B7" i="10"/>
  <c r="B11" i="52" s="1"/>
  <c r="B27" i="52" s="1"/>
  <c r="E16" i="9"/>
  <c r="E16" i="39" s="1"/>
  <c r="D16" i="9"/>
  <c r="D16" i="39" s="1"/>
  <c r="C16" i="9"/>
  <c r="C16" i="39" s="1"/>
  <c r="B16" i="9"/>
  <c r="B16" i="39" s="1"/>
  <c r="E12" i="9"/>
  <c r="E24" i="39" s="1"/>
  <c r="D12" i="9"/>
  <c r="D24" i="39" s="1"/>
  <c r="C12" i="9"/>
  <c r="C24" i="39" s="1"/>
  <c r="B12" i="9"/>
  <c r="B24" i="39" s="1"/>
  <c r="E8" i="9"/>
  <c r="E8" i="39" s="1"/>
  <c r="D8" i="9"/>
  <c r="D8" i="39" s="1"/>
  <c r="C8" i="9"/>
  <c r="C8" i="39" s="1"/>
  <c r="B8" i="9"/>
  <c r="B8" i="39" s="1"/>
  <c r="E16" i="7"/>
  <c r="E15" i="39" s="1"/>
  <c r="D16" i="7"/>
  <c r="D15" i="39" s="1"/>
  <c r="C16" i="7"/>
  <c r="C15" i="39" s="1"/>
  <c r="B16" i="7"/>
  <c r="B15" i="39" s="1"/>
  <c r="E12" i="7"/>
  <c r="E23" i="39" s="1"/>
  <c r="D12" i="7"/>
  <c r="D23" i="39" s="1"/>
  <c r="C12" i="7"/>
  <c r="C23" i="39" s="1"/>
  <c r="B12" i="7"/>
  <c r="B23" i="39" s="1"/>
  <c r="E8" i="7"/>
  <c r="D8" i="7"/>
  <c r="C8" i="7"/>
  <c r="B8" i="7"/>
  <c r="E16" i="5"/>
  <c r="E14" i="39" s="1"/>
  <c r="D16" i="5"/>
  <c r="D14" i="39" s="1"/>
  <c r="C16" i="5"/>
  <c r="C14" i="39" s="1"/>
  <c r="B16" i="5"/>
  <c r="B14" i="39" s="1"/>
  <c r="E12" i="5"/>
  <c r="E22" i="39" s="1"/>
  <c r="D12" i="5"/>
  <c r="D22" i="39" s="1"/>
  <c r="C12" i="5"/>
  <c r="C22" i="39" s="1"/>
  <c r="B12" i="5"/>
  <c r="B22" i="39" s="1"/>
  <c r="E8" i="5"/>
  <c r="E6" i="39" s="1"/>
  <c r="D8" i="5"/>
  <c r="D6" i="39" s="1"/>
  <c r="C8" i="5"/>
  <c r="C6" i="39" s="1"/>
  <c r="B8" i="5"/>
  <c r="B6" i="39" s="1"/>
  <c r="E21" i="4"/>
  <c r="E15" i="52" s="1"/>
  <c r="D21" i="4"/>
  <c r="D15" i="52" s="1"/>
  <c r="C21" i="4"/>
  <c r="C15" i="52" s="1"/>
  <c r="B21" i="4"/>
  <c r="B15" i="52" s="1"/>
  <c r="E12" i="4"/>
  <c r="E7" i="52" s="1"/>
  <c r="D12" i="4"/>
  <c r="D7" i="52" s="1"/>
  <c r="C12" i="4"/>
  <c r="C7" i="52" s="1"/>
  <c r="B12" i="4"/>
  <c r="B7" i="52" s="1"/>
  <c r="B23" i="52" s="1"/>
  <c r="C5" i="40"/>
  <c r="C5" i="1" s="1"/>
  <c r="D5" i="40"/>
  <c r="D5" i="1" s="1"/>
  <c r="E5" i="40"/>
  <c r="E5" i="1" s="1"/>
  <c r="C13" i="40"/>
  <c r="D13" i="40"/>
  <c r="E13" i="40"/>
  <c r="B13" i="40"/>
  <c r="C7" i="42"/>
  <c r="D7" i="42"/>
  <c r="E7" i="42"/>
  <c r="C9" i="42"/>
  <c r="D9" i="42"/>
  <c r="E9" i="42"/>
  <c r="C12" i="42"/>
  <c r="D12" i="42"/>
  <c r="C14" i="42"/>
  <c r="F5" i="40"/>
  <c r="B14" i="42"/>
  <c r="B9" i="42"/>
  <c r="B7" i="42"/>
  <c r="C9" i="2"/>
  <c r="D9" i="2"/>
  <c r="E9" i="2"/>
  <c r="C14" i="2"/>
  <c r="D14" i="2"/>
  <c r="E14" i="2"/>
  <c r="C19" i="2"/>
  <c r="D19" i="2"/>
  <c r="E19" i="2"/>
  <c r="B19" i="2"/>
  <c r="B14" i="2"/>
  <c r="B9" i="2"/>
  <c r="G16" i="7"/>
  <c r="H16" i="7"/>
  <c r="I16" i="7"/>
  <c r="J16" i="7"/>
  <c r="K16" i="7"/>
  <c r="F16" i="7"/>
  <c r="G16" i="5"/>
  <c r="G14" i="39" s="1"/>
  <c r="H16" i="5"/>
  <c r="H14" i="39" s="1"/>
  <c r="I16" i="5"/>
  <c r="I14" i="39" s="1"/>
  <c r="J16" i="5"/>
  <c r="J14" i="39" s="1"/>
  <c r="K16" i="5"/>
  <c r="K14" i="39" s="1"/>
  <c r="G17" i="39"/>
  <c r="H17" i="39"/>
  <c r="I17" i="39"/>
  <c r="J17" i="39"/>
  <c r="K17" i="39"/>
  <c r="F17" i="39"/>
  <c r="G19" i="2"/>
  <c r="H19" i="2"/>
  <c r="F19" i="2"/>
  <c r="G13" i="49"/>
  <c r="H13" i="49"/>
  <c r="F13" i="49"/>
  <c r="I12" i="49"/>
  <c r="I13" i="49" s="1"/>
  <c r="J12" i="49"/>
  <c r="K12" i="49"/>
  <c r="K13" i="49" s="1"/>
  <c r="G8" i="49"/>
  <c r="G9" i="2" s="1"/>
  <c r="H8" i="49"/>
  <c r="H9" i="2" s="1"/>
  <c r="I8" i="49"/>
  <c r="I9" i="2" s="1"/>
  <c r="J8" i="49"/>
  <c r="J9" i="2" s="1"/>
  <c r="K8" i="49"/>
  <c r="K9" i="2" s="1"/>
  <c r="F8" i="49"/>
  <c r="F9" i="2" s="1"/>
  <c r="C6" i="1" l="1"/>
  <c r="C4" i="1" s="1"/>
  <c r="D13" i="39"/>
  <c r="D11" i="2" s="1"/>
  <c r="E13" i="39"/>
  <c r="E11" i="2" s="1"/>
  <c r="J5" i="58"/>
  <c r="H5" i="58"/>
  <c r="G5" i="58"/>
  <c r="F5" i="58"/>
  <c r="K5" i="58"/>
  <c r="I5" i="58"/>
  <c r="E5" i="58"/>
  <c r="C5" i="51"/>
  <c r="C8" i="2" s="1"/>
  <c r="D5" i="51"/>
  <c r="D8" i="2" s="1"/>
  <c r="J5" i="51"/>
  <c r="J8" i="2" s="1"/>
  <c r="I5" i="51"/>
  <c r="I8" i="2" s="1"/>
  <c r="H5" i="51"/>
  <c r="H8" i="2" s="1"/>
  <c r="G5" i="51"/>
  <c r="G8" i="2" s="1"/>
  <c r="F5" i="51"/>
  <c r="F8" i="2" s="1"/>
  <c r="B5" i="51"/>
  <c r="B8" i="2" s="1"/>
  <c r="E5" i="51"/>
  <c r="E8" i="2" s="1"/>
  <c r="K32" i="15"/>
  <c r="C31" i="15"/>
  <c r="C32" i="15"/>
  <c r="D32" i="15"/>
  <c r="I32" i="15"/>
  <c r="G6" i="15"/>
  <c r="G32" i="15" s="1"/>
  <c r="H32" i="15"/>
  <c r="F6" i="15"/>
  <c r="F31" i="15" s="1"/>
  <c r="B32" i="15"/>
  <c r="E6" i="15"/>
  <c r="E31" i="15" s="1"/>
  <c r="D6" i="15"/>
  <c r="D31" i="15" s="1"/>
  <c r="D26" i="52"/>
  <c r="E7" i="39"/>
  <c r="E5" i="39" s="1"/>
  <c r="E6" i="2" s="1"/>
  <c r="B21" i="39"/>
  <c r="B16" i="2" s="1"/>
  <c r="B7" i="39"/>
  <c r="C13" i="39"/>
  <c r="C11" i="2" s="1"/>
  <c r="C7" i="39"/>
  <c r="C5" i="39" s="1"/>
  <c r="C6" i="2" s="1"/>
  <c r="D7" i="39"/>
  <c r="D5" i="39" s="1"/>
  <c r="D6" i="2" s="1"/>
  <c r="D21" i="39"/>
  <c r="D16" i="2" s="1"/>
  <c r="B13" i="39"/>
  <c r="B11" i="2" s="1"/>
  <c r="C21" i="39"/>
  <c r="C16" i="2" s="1"/>
  <c r="B5" i="53"/>
  <c r="B8" i="42" s="1"/>
  <c r="D21" i="53"/>
  <c r="D18" i="42" s="1"/>
  <c r="E26" i="52"/>
  <c r="B5" i="39"/>
  <c r="B6" i="2" s="1"/>
  <c r="E21" i="39"/>
  <c r="E16" i="2" s="1"/>
  <c r="C21" i="53"/>
  <c r="C18" i="42" s="1"/>
  <c r="B13" i="53"/>
  <c r="B13" i="42" s="1"/>
  <c r="B21" i="53"/>
  <c r="B18" i="42" s="1"/>
  <c r="E5" i="53"/>
  <c r="E8" i="42" s="1"/>
  <c r="C13" i="53"/>
  <c r="C13" i="42" s="1"/>
  <c r="D13" i="53"/>
  <c r="D13" i="42" s="1"/>
  <c r="C5" i="53"/>
  <c r="C8" i="42" s="1"/>
  <c r="E21" i="53"/>
  <c r="E18" i="42" s="1"/>
  <c r="D5" i="53"/>
  <c r="D8" i="42" s="1"/>
  <c r="E13" i="53"/>
  <c r="E13" i="42" s="1"/>
  <c r="D23" i="52"/>
  <c r="C23" i="52"/>
  <c r="E27" i="52"/>
  <c r="B21" i="51"/>
  <c r="B18" i="2" s="1"/>
  <c r="B13" i="51"/>
  <c r="B13" i="2" s="1"/>
  <c r="F5" i="13"/>
  <c r="F6" i="1"/>
  <c r="I5" i="13"/>
  <c r="J5" i="13"/>
  <c r="J6" i="1"/>
  <c r="D5" i="52"/>
  <c r="D6" i="42" s="1"/>
  <c r="E23" i="52"/>
  <c r="C14" i="52"/>
  <c r="C11" i="42" s="1"/>
  <c r="E5" i="52"/>
  <c r="E6" i="42" s="1"/>
  <c r="D14" i="52"/>
  <c r="D11" i="42" s="1"/>
  <c r="B5" i="52"/>
  <c r="B6" i="42" s="1"/>
  <c r="B14" i="52"/>
  <c r="B11" i="42" s="1"/>
  <c r="E14" i="52"/>
  <c r="E11" i="42" s="1"/>
  <c r="C25" i="52"/>
  <c r="C5" i="52"/>
  <c r="C6" i="42" s="1"/>
  <c r="C26" i="52"/>
  <c r="B26" i="52"/>
  <c r="B22" i="52" s="1"/>
  <c r="B16" i="42" s="1"/>
  <c r="D24" i="52"/>
  <c r="D22" i="52" s="1"/>
  <c r="D16" i="42" s="1"/>
  <c r="E24" i="52"/>
  <c r="K21" i="51"/>
  <c r="K18" i="2" s="1"/>
  <c r="J21" i="51"/>
  <c r="J18" i="2" s="1"/>
  <c r="I21" i="51"/>
  <c r="I18" i="2" s="1"/>
  <c r="H21" i="51"/>
  <c r="H18" i="2" s="1"/>
  <c r="G21" i="51"/>
  <c r="G18" i="2" s="1"/>
  <c r="F21" i="51"/>
  <c r="F18" i="2" s="1"/>
  <c r="E21" i="51"/>
  <c r="E18" i="2" s="1"/>
  <c r="D21" i="51"/>
  <c r="D18" i="2" s="1"/>
  <c r="C21" i="51"/>
  <c r="C18" i="2" s="1"/>
  <c r="C15" i="2" s="1"/>
  <c r="K13" i="51"/>
  <c r="K13" i="2" s="1"/>
  <c r="J13" i="51"/>
  <c r="J13" i="2" s="1"/>
  <c r="I13" i="51"/>
  <c r="I13" i="2" s="1"/>
  <c r="H13" i="51"/>
  <c r="H13" i="2" s="1"/>
  <c r="G13" i="51"/>
  <c r="G13" i="2" s="1"/>
  <c r="F13" i="51"/>
  <c r="F13" i="2" s="1"/>
  <c r="E13" i="51"/>
  <c r="D13" i="51"/>
  <c r="C13" i="51"/>
  <c r="C13" i="2" s="1"/>
  <c r="B4" i="1"/>
  <c r="E4" i="1"/>
  <c r="D4" i="1"/>
  <c r="E16" i="11"/>
  <c r="D16" i="11"/>
  <c r="C16" i="11"/>
  <c r="B16" i="11"/>
  <c r="B17" i="5"/>
  <c r="E17" i="9"/>
  <c r="D17" i="9"/>
  <c r="C17" i="9"/>
  <c r="B17" i="9"/>
  <c r="C17" i="5"/>
  <c r="D17" i="7"/>
  <c r="E17" i="7"/>
  <c r="C17" i="7"/>
  <c r="B17" i="7"/>
  <c r="E17" i="5"/>
  <c r="D17" i="5"/>
  <c r="J13" i="49"/>
  <c r="J19" i="2"/>
  <c r="K19" i="2"/>
  <c r="I19" i="2"/>
  <c r="C22" i="52" l="1"/>
  <c r="C16" i="42" s="1"/>
  <c r="D13" i="2"/>
  <c r="D10" i="2" s="1"/>
  <c r="E13" i="2"/>
  <c r="E10" i="2" s="1"/>
  <c r="E32" i="15"/>
  <c r="F32" i="15"/>
  <c r="G31" i="15"/>
  <c r="E15" i="2"/>
  <c r="B5" i="2"/>
  <c r="C10" i="2"/>
  <c r="B15" i="2"/>
  <c r="D15" i="2"/>
  <c r="B10" i="42"/>
  <c r="B5" i="42"/>
  <c r="C5" i="42"/>
  <c r="D5" i="2"/>
  <c r="B10" i="2"/>
  <c r="D10" i="42"/>
  <c r="C10" i="42"/>
  <c r="D5" i="42"/>
  <c r="E10" i="42"/>
  <c r="E5" i="42"/>
  <c r="E22" i="52"/>
  <c r="E16" i="42" s="1"/>
  <c r="E15" i="42" s="1"/>
  <c r="C5" i="2"/>
  <c r="E5" i="2"/>
  <c r="D15" i="42"/>
  <c r="B15" i="42"/>
  <c r="C15" i="42"/>
  <c r="K1" i="58"/>
  <c r="F16" i="5"/>
  <c r="F14" i="39" s="1"/>
  <c r="G12" i="5"/>
  <c r="G17" i="5" s="1"/>
  <c r="H12" i="5"/>
  <c r="H17" i="5" s="1"/>
  <c r="I12" i="5"/>
  <c r="I17" i="5" s="1"/>
  <c r="J12" i="5"/>
  <c r="J17" i="5" s="1"/>
  <c r="K12" i="5"/>
  <c r="K17" i="5" s="1"/>
  <c r="F12" i="5"/>
  <c r="F17" i="5" s="1"/>
  <c r="G8" i="5"/>
  <c r="H8" i="5"/>
  <c r="I8" i="5"/>
  <c r="J8" i="5"/>
  <c r="K8" i="5"/>
  <c r="F8" i="5"/>
  <c r="F6" i="39" s="1"/>
  <c r="G15" i="11"/>
  <c r="H15" i="11"/>
  <c r="I15" i="11"/>
  <c r="J15" i="11"/>
  <c r="K15" i="11"/>
  <c r="F15" i="11"/>
  <c r="K12" i="11"/>
  <c r="K16" i="11" s="1"/>
  <c r="J12" i="11"/>
  <c r="J16" i="11" s="1"/>
  <c r="I12" i="11"/>
  <c r="I16" i="11" s="1"/>
  <c r="H12" i="11"/>
  <c r="H16" i="11" s="1"/>
  <c r="G12" i="11"/>
  <c r="G16" i="11" s="1"/>
  <c r="F12" i="11"/>
  <c r="F16" i="11" s="1"/>
  <c r="G8" i="11"/>
  <c r="H8" i="11"/>
  <c r="I8" i="11"/>
  <c r="J8" i="11"/>
  <c r="K8" i="11"/>
  <c r="F8" i="11"/>
  <c r="F16" i="9"/>
  <c r="F12" i="9"/>
  <c r="F8" i="9"/>
  <c r="F8" i="39"/>
  <c r="G14" i="42"/>
  <c r="H14" i="42"/>
  <c r="I14" i="42"/>
  <c r="J14" i="42"/>
  <c r="K14" i="42"/>
  <c r="F14" i="42"/>
  <c r="G9" i="42"/>
  <c r="H9" i="42"/>
  <c r="I9" i="42"/>
  <c r="J9" i="42"/>
  <c r="K9" i="42"/>
  <c r="F9" i="42"/>
  <c r="K18" i="52"/>
  <c r="G10" i="52"/>
  <c r="H10" i="52"/>
  <c r="I10" i="52"/>
  <c r="J10" i="52"/>
  <c r="F10" i="52"/>
  <c r="G18" i="52"/>
  <c r="H18" i="52"/>
  <c r="I18" i="52"/>
  <c r="J18" i="52"/>
  <c r="F18" i="52"/>
  <c r="B38" i="14"/>
  <c r="B39" i="14"/>
  <c r="F17" i="9" l="1"/>
  <c r="F16" i="39"/>
  <c r="I26" i="52"/>
  <c r="H26" i="52"/>
  <c r="G26" i="52"/>
  <c r="F26" i="52"/>
  <c r="J26" i="52"/>
  <c r="I1" i="57" l="1"/>
  <c r="G17" i="52"/>
  <c r="H17" i="52"/>
  <c r="I17" i="52"/>
  <c r="J17" i="52"/>
  <c r="K17" i="52"/>
  <c r="F17" i="52"/>
  <c r="G9" i="52"/>
  <c r="H9" i="52"/>
  <c r="I9" i="52"/>
  <c r="J9" i="52"/>
  <c r="J25" i="52" s="1"/>
  <c r="F9" i="52"/>
  <c r="K9" i="52"/>
  <c r="G16" i="52"/>
  <c r="H16" i="52"/>
  <c r="I16" i="52"/>
  <c r="J16" i="52"/>
  <c r="K16" i="52"/>
  <c r="F16" i="52"/>
  <c r="G8" i="52"/>
  <c r="H8" i="52"/>
  <c r="I8" i="52"/>
  <c r="J8" i="52"/>
  <c r="K8" i="52"/>
  <c r="F8" i="52"/>
  <c r="F24" i="39"/>
  <c r="G22" i="39"/>
  <c r="H22" i="39"/>
  <c r="I22" i="39"/>
  <c r="J22" i="39"/>
  <c r="K22" i="39"/>
  <c r="G25" i="39"/>
  <c r="H25" i="39"/>
  <c r="I25" i="39"/>
  <c r="J25" i="39"/>
  <c r="K25" i="39"/>
  <c r="G26" i="39"/>
  <c r="H26" i="39"/>
  <c r="I26" i="39"/>
  <c r="J26" i="39"/>
  <c r="K26" i="39"/>
  <c r="G15" i="39"/>
  <c r="H15" i="39"/>
  <c r="I15" i="39"/>
  <c r="J15" i="39"/>
  <c r="K15" i="39"/>
  <c r="G18" i="39"/>
  <c r="H18" i="39"/>
  <c r="I18" i="39"/>
  <c r="J18" i="39"/>
  <c r="K18" i="39"/>
  <c r="G6" i="39"/>
  <c r="H6" i="39"/>
  <c r="I6" i="39"/>
  <c r="J6" i="39"/>
  <c r="K6" i="39"/>
  <c r="G9" i="39"/>
  <c r="H9" i="39"/>
  <c r="I9" i="39"/>
  <c r="J9" i="39"/>
  <c r="K9" i="39"/>
  <c r="G10" i="39"/>
  <c r="H10" i="39"/>
  <c r="I10" i="39"/>
  <c r="J10" i="39"/>
  <c r="K10" i="39"/>
  <c r="F25" i="39"/>
  <c r="F26" i="39"/>
  <c r="F22" i="39"/>
  <c r="F18" i="39"/>
  <c r="F15" i="39"/>
  <c r="F10" i="39"/>
  <c r="F9" i="39"/>
  <c r="K13" i="21"/>
  <c r="J13" i="21"/>
  <c r="G26" i="53"/>
  <c r="H26" i="53"/>
  <c r="I26" i="53"/>
  <c r="J26" i="53"/>
  <c r="K26" i="53"/>
  <c r="G27" i="53"/>
  <c r="H27" i="53"/>
  <c r="I27" i="53"/>
  <c r="J27" i="53"/>
  <c r="K27" i="53"/>
  <c r="G28" i="53"/>
  <c r="H28" i="53"/>
  <c r="I28" i="53"/>
  <c r="J28" i="53"/>
  <c r="K28" i="53"/>
  <c r="F28" i="53"/>
  <c r="F27" i="53"/>
  <c r="F26" i="53"/>
  <c r="G18" i="53"/>
  <c r="H18" i="53"/>
  <c r="I18" i="53"/>
  <c r="J18" i="53"/>
  <c r="K18" i="53"/>
  <c r="G19" i="53"/>
  <c r="H19" i="53"/>
  <c r="I19" i="53"/>
  <c r="J19" i="53"/>
  <c r="K19" i="53"/>
  <c r="G20" i="53"/>
  <c r="H20" i="53"/>
  <c r="I20" i="53"/>
  <c r="J20" i="53"/>
  <c r="K20" i="53"/>
  <c r="F20" i="53"/>
  <c r="F19" i="53"/>
  <c r="F18" i="53"/>
  <c r="G10" i="53"/>
  <c r="H10" i="53"/>
  <c r="I10" i="53"/>
  <c r="J10" i="53"/>
  <c r="K10" i="53"/>
  <c r="G11" i="53"/>
  <c r="H11" i="53"/>
  <c r="I11" i="53"/>
  <c r="J11" i="53"/>
  <c r="K11" i="53"/>
  <c r="G12" i="53"/>
  <c r="H12" i="53"/>
  <c r="I12" i="53"/>
  <c r="J12" i="53"/>
  <c r="K12" i="53"/>
  <c r="F12" i="53"/>
  <c r="F11" i="53"/>
  <c r="F10" i="53"/>
  <c r="K13" i="56"/>
  <c r="K13" i="55"/>
  <c r="K13" i="54"/>
  <c r="M1" i="56"/>
  <c r="K1" i="55"/>
  <c r="M1" i="54"/>
  <c r="G12" i="4"/>
  <c r="H12" i="4"/>
  <c r="I12" i="4"/>
  <c r="J12" i="4"/>
  <c r="K12" i="4"/>
  <c r="F12" i="4"/>
  <c r="G21" i="4"/>
  <c r="G15" i="52" s="1"/>
  <c r="H21" i="4"/>
  <c r="H15" i="52" s="1"/>
  <c r="I21" i="4"/>
  <c r="I15" i="52" s="1"/>
  <c r="J21" i="4"/>
  <c r="J15" i="52" s="1"/>
  <c r="K21" i="4"/>
  <c r="K15" i="52" s="1"/>
  <c r="F21" i="4"/>
  <c r="F15" i="52" s="1"/>
  <c r="B9" i="14"/>
  <c r="B8" i="14"/>
  <c r="G12" i="15"/>
  <c r="H12" i="15"/>
  <c r="I12" i="15"/>
  <c r="J12" i="15"/>
  <c r="K12" i="15"/>
  <c r="F12" i="15"/>
  <c r="H24" i="52" l="1"/>
  <c r="H7" i="52"/>
  <c r="H23" i="52" s="1"/>
  <c r="F7" i="52"/>
  <c r="F23" i="52" s="1"/>
  <c r="G7" i="52"/>
  <c r="K7" i="52"/>
  <c r="K23" i="52" s="1"/>
  <c r="J7" i="52"/>
  <c r="J23" i="52" s="1"/>
  <c r="I7" i="52"/>
  <c r="I23" i="52" s="1"/>
  <c r="I25" i="52"/>
  <c r="G24" i="52"/>
  <c r="K25" i="52"/>
  <c r="G23" i="52"/>
  <c r="F25" i="52"/>
  <c r="H25" i="52"/>
  <c r="G25" i="52"/>
  <c r="K24" i="52"/>
  <c r="J24" i="52"/>
  <c r="I24" i="52"/>
  <c r="F24" i="52"/>
  <c r="G7" i="42"/>
  <c r="G22" i="53"/>
  <c r="H22" i="53"/>
  <c r="I22" i="53"/>
  <c r="J22" i="53"/>
  <c r="K22" i="53"/>
  <c r="G23" i="53"/>
  <c r="H23" i="53"/>
  <c r="I23" i="53"/>
  <c r="J23" i="53"/>
  <c r="K23" i="53"/>
  <c r="G24" i="53"/>
  <c r="H24" i="53"/>
  <c r="I24" i="53"/>
  <c r="J24" i="53"/>
  <c r="K24" i="53"/>
  <c r="G25" i="53"/>
  <c r="H25" i="53"/>
  <c r="I25" i="53"/>
  <c r="J25" i="53"/>
  <c r="K25" i="53"/>
  <c r="F8" i="53"/>
  <c r="J21" i="53" l="1"/>
  <c r="J18" i="42" s="1"/>
  <c r="I21" i="53"/>
  <c r="I18" i="42" s="1"/>
  <c r="H21" i="53"/>
  <c r="H18" i="42" s="1"/>
  <c r="G21" i="53"/>
  <c r="G18" i="42" s="1"/>
  <c r="K21" i="53"/>
  <c r="K18" i="42" s="1"/>
  <c r="G14" i="53"/>
  <c r="H14" i="53"/>
  <c r="I14" i="53"/>
  <c r="J14" i="53"/>
  <c r="K14" i="53"/>
  <c r="G15" i="53"/>
  <c r="H15" i="53"/>
  <c r="I15" i="53"/>
  <c r="J15" i="53"/>
  <c r="K15" i="53"/>
  <c r="G16" i="53"/>
  <c r="H16" i="53"/>
  <c r="I16" i="53"/>
  <c r="J16" i="53"/>
  <c r="K16" i="53"/>
  <c r="G17" i="53"/>
  <c r="H17" i="53"/>
  <c r="I17" i="53"/>
  <c r="J17" i="53"/>
  <c r="K17" i="53"/>
  <c r="G6" i="53"/>
  <c r="H6" i="53"/>
  <c r="I6" i="53"/>
  <c r="J6" i="53"/>
  <c r="K6" i="53"/>
  <c r="G7" i="53"/>
  <c r="H7" i="53"/>
  <c r="I7" i="53"/>
  <c r="J7" i="53"/>
  <c r="K7" i="53"/>
  <c r="G8" i="53"/>
  <c r="H8" i="53"/>
  <c r="I8" i="53"/>
  <c r="J8" i="53"/>
  <c r="K8" i="53"/>
  <c r="G9" i="53"/>
  <c r="H9" i="53"/>
  <c r="I9" i="53"/>
  <c r="J9" i="53"/>
  <c r="K9" i="53"/>
  <c r="F25" i="53"/>
  <c r="F17" i="53"/>
  <c r="F9" i="53"/>
  <c r="F24" i="53"/>
  <c r="F16" i="53"/>
  <c r="F23" i="53"/>
  <c r="F15" i="53"/>
  <c r="F7" i="53"/>
  <c r="F22" i="53"/>
  <c r="F14" i="53"/>
  <c r="F6" i="53"/>
  <c r="B50" i="14"/>
  <c r="N1" i="53"/>
  <c r="N2" i="51"/>
  <c r="K5" i="53" l="1"/>
  <c r="K8" i="42" s="1"/>
  <c r="K13" i="53"/>
  <c r="K13" i="42" s="1"/>
  <c r="J13" i="53"/>
  <c r="J13" i="42" s="1"/>
  <c r="I13" i="53"/>
  <c r="I13" i="42" s="1"/>
  <c r="F13" i="53"/>
  <c r="F13" i="42" s="1"/>
  <c r="H13" i="53"/>
  <c r="H13" i="42" s="1"/>
  <c r="G13" i="53"/>
  <c r="G13" i="42" s="1"/>
  <c r="J5" i="53"/>
  <c r="J8" i="42" s="1"/>
  <c r="H5" i="53"/>
  <c r="H8" i="42" s="1"/>
  <c r="I5" i="53"/>
  <c r="I8" i="42" s="1"/>
  <c r="G5" i="53"/>
  <c r="G8" i="42" s="1"/>
  <c r="F5" i="53"/>
  <c r="F8" i="42" s="1"/>
  <c r="F21" i="53"/>
  <c r="F18" i="42" s="1"/>
  <c r="F15" i="50"/>
  <c r="F6" i="50"/>
  <c r="F13" i="40"/>
  <c r="G12" i="42"/>
  <c r="H12" i="42"/>
  <c r="I12" i="42"/>
  <c r="J12" i="42"/>
  <c r="K12" i="42"/>
  <c r="H7" i="42"/>
  <c r="I7" i="42"/>
  <c r="J7" i="42"/>
  <c r="K7" i="42"/>
  <c r="F12" i="42"/>
  <c r="F7" i="42"/>
  <c r="B18" i="14"/>
  <c r="F5" i="50" l="1"/>
  <c r="N1" i="52"/>
  <c r="G14" i="2"/>
  <c r="H14" i="2"/>
  <c r="I14" i="2"/>
  <c r="J14" i="2"/>
  <c r="K14" i="2"/>
  <c r="F14" i="2"/>
  <c r="F7" i="1"/>
  <c r="F8" i="1"/>
  <c r="F5" i="1"/>
  <c r="B48" i="14"/>
  <c r="L15" i="50"/>
  <c r="K15" i="50"/>
  <c r="J15" i="50"/>
  <c r="I15" i="50"/>
  <c r="H15" i="50"/>
  <c r="G15" i="50"/>
  <c r="L6" i="50"/>
  <c r="K6" i="50"/>
  <c r="J6" i="50"/>
  <c r="I6" i="50"/>
  <c r="H6" i="50"/>
  <c r="G6" i="50"/>
  <c r="G5" i="50" s="1"/>
  <c r="G7" i="1" s="1"/>
  <c r="H5" i="50" l="1"/>
  <c r="H7" i="1" s="1"/>
  <c r="I5" i="50"/>
  <c r="I7" i="1" s="1"/>
  <c r="J5" i="50"/>
  <c r="J7" i="1" s="1"/>
  <c r="K5" i="50"/>
  <c r="K7" i="1" s="1"/>
  <c r="L5" i="50"/>
  <c r="L7" i="1" s="1"/>
  <c r="I1" i="50" l="1"/>
  <c r="B65" i="14"/>
  <c r="J1" i="49" l="1"/>
  <c r="B64" i="14"/>
  <c r="M1" i="48"/>
  <c r="B63" i="14"/>
  <c r="C1" i="44" l="1"/>
  <c r="G11" i="10" l="1"/>
  <c r="G19" i="52" s="1"/>
  <c r="G14" i="52" s="1"/>
  <c r="G11" i="42" s="1"/>
  <c r="G10" i="42" s="1"/>
  <c r="H11" i="10"/>
  <c r="H19" i="52" s="1"/>
  <c r="H14" i="52" s="1"/>
  <c r="H11" i="42" s="1"/>
  <c r="H10" i="42" s="1"/>
  <c r="I11" i="10"/>
  <c r="I19" i="52" s="1"/>
  <c r="I14" i="52" s="1"/>
  <c r="I11" i="42" s="1"/>
  <c r="I10" i="42" s="1"/>
  <c r="J11" i="10"/>
  <c r="J19" i="52" s="1"/>
  <c r="J14" i="52" s="1"/>
  <c r="J11" i="42" s="1"/>
  <c r="J10" i="42" s="1"/>
  <c r="K11" i="10"/>
  <c r="K19" i="52" s="1"/>
  <c r="K14" i="52" s="1"/>
  <c r="K11" i="42" s="1"/>
  <c r="K10" i="42" s="1"/>
  <c r="F11" i="10"/>
  <c r="F19" i="52" s="1"/>
  <c r="F14" i="52" s="1"/>
  <c r="F11" i="42" s="1"/>
  <c r="F10" i="42" s="1"/>
  <c r="G7" i="10"/>
  <c r="G11" i="52" s="1"/>
  <c r="H7" i="10"/>
  <c r="H11" i="52" s="1"/>
  <c r="I7" i="10"/>
  <c r="I11" i="52" s="1"/>
  <c r="J7" i="10"/>
  <c r="J11" i="52" s="1"/>
  <c r="K7" i="10"/>
  <c r="K11" i="52" s="1"/>
  <c r="K5" i="52" s="1"/>
  <c r="F7" i="10"/>
  <c r="F11" i="52" s="1"/>
  <c r="F27" i="52" l="1"/>
  <c r="F5" i="52"/>
  <c r="F6" i="42" s="1"/>
  <c r="F5" i="42" s="1"/>
  <c r="K27" i="52"/>
  <c r="K6" i="42"/>
  <c r="K5" i="42" s="1"/>
  <c r="J27" i="52"/>
  <c r="J22" i="52" s="1"/>
  <c r="J16" i="42" s="1"/>
  <c r="J15" i="42" s="1"/>
  <c r="J5" i="52"/>
  <c r="J6" i="42" s="1"/>
  <c r="J5" i="42" s="1"/>
  <c r="I27" i="52"/>
  <c r="I5" i="52"/>
  <c r="I6" i="42" s="1"/>
  <c r="I5" i="42" s="1"/>
  <c r="H27" i="52"/>
  <c r="H22" i="52" s="1"/>
  <c r="H5" i="52"/>
  <c r="H6" i="42" s="1"/>
  <c r="H5" i="42" s="1"/>
  <c r="G27" i="52"/>
  <c r="G22" i="52" s="1"/>
  <c r="G5" i="52"/>
  <c r="G6" i="42" s="1"/>
  <c r="G5" i="42" s="1"/>
  <c r="H16" i="9"/>
  <c r="H16" i="39" s="1"/>
  <c r="H13" i="39" s="1"/>
  <c r="I16" i="9"/>
  <c r="I16" i="39" s="1"/>
  <c r="I13" i="39" s="1"/>
  <c r="J16" i="9"/>
  <c r="J16" i="39" s="1"/>
  <c r="J13" i="39" s="1"/>
  <c r="K16" i="9"/>
  <c r="K16" i="39" s="1"/>
  <c r="K13" i="39" s="1"/>
  <c r="G16" i="9"/>
  <c r="G16" i="39" s="1"/>
  <c r="G13" i="39" s="1"/>
  <c r="H12" i="9"/>
  <c r="H24" i="39" s="1"/>
  <c r="I12" i="9"/>
  <c r="I24" i="39" s="1"/>
  <c r="J12" i="9"/>
  <c r="J24" i="39" s="1"/>
  <c r="K12" i="9"/>
  <c r="K24" i="39" s="1"/>
  <c r="G12" i="9"/>
  <c r="G24" i="39" s="1"/>
  <c r="H8" i="9"/>
  <c r="H8" i="39" s="1"/>
  <c r="I8" i="9"/>
  <c r="I8" i="39" s="1"/>
  <c r="J8" i="9"/>
  <c r="J8" i="39" s="1"/>
  <c r="K8" i="9"/>
  <c r="K8" i="39" s="1"/>
  <c r="G8" i="9"/>
  <c r="G8" i="39" s="1"/>
  <c r="G12" i="7"/>
  <c r="G23" i="39" s="1"/>
  <c r="H12" i="7"/>
  <c r="H23" i="39" s="1"/>
  <c r="I12" i="7"/>
  <c r="I23" i="39" s="1"/>
  <c r="J12" i="7"/>
  <c r="J23" i="39" s="1"/>
  <c r="K12" i="7"/>
  <c r="F12" i="7"/>
  <c r="G8" i="7"/>
  <c r="H8" i="7"/>
  <c r="I8" i="7"/>
  <c r="J8" i="7"/>
  <c r="K8" i="7"/>
  <c r="F8" i="7"/>
  <c r="I22" i="52" l="1"/>
  <c r="I16" i="42" s="1"/>
  <c r="I15" i="42" s="1"/>
  <c r="K22" i="52"/>
  <c r="K16" i="42" s="1"/>
  <c r="K15" i="42" s="1"/>
  <c r="H7" i="39"/>
  <c r="F7" i="39"/>
  <c r="K7" i="39"/>
  <c r="I7" i="39"/>
  <c r="G7" i="39"/>
  <c r="J7" i="39"/>
  <c r="F22" i="52"/>
  <c r="F16" i="42" s="1"/>
  <c r="F15" i="42" s="1"/>
  <c r="G16" i="42"/>
  <c r="G15" i="42" s="1"/>
  <c r="H16" i="42"/>
  <c r="H15" i="42" s="1"/>
  <c r="F17" i="7"/>
  <c r="F23" i="39"/>
  <c r="K17" i="7"/>
  <c r="K23" i="39"/>
  <c r="F5" i="39"/>
  <c r="F6" i="2" s="1"/>
  <c r="I17" i="9"/>
  <c r="G17" i="9"/>
  <c r="K17" i="9"/>
  <c r="J17" i="9"/>
  <c r="H17" i="9"/>
  <c r="J17" i="7"/>
  <c r="G17" i="7"/>
  <c r="I17" i="7"/>
  <c r="H17" i="7"/>
  <c r="K1" i="42" l="1"/>
  <c r="L5" i="41" l="1"/>
  <c r="L8" i="1" s="1"/>
  <c r="J8" i="1"/>
  <c r="I8" i="1"/>
  <c r="H8" i="1"/>
  <c r="G8" i="1"/>
  <c r="I1" i="41"/>
  <c r="B16" i="14"/>
  <c r="B17" i="14"/>
  <c r="H13" i="40"/>
  <c r="I13" i="40"/>
  <c r="J13" i="40"/>
  <c r="K13" i="40"/>
  <c r="L13" i="40"/>
  <c r="G13" i="40"/>
  <c r="H5" i="40"/>
  <c r="H5" i="1" s="1"/>
  <c r="I5" i="40"/>
  <c r="I5" i="1" s="1"/>
  <c r="J5" i="1"/>
  <c r="K5" i="40"/>
  <c r="K5" i="1" s="1"/>
  <c r="L5" i="40"/>
  <c r="L5" i="1" s="1"/>
  <c r="G5" i="40"/>
  <c r="G5" i="1" s="1"/>
  <c r="M1" i="40"/>
  <c r="K21" i="39"/>
  <c r="K16" i="2" s="1"/>
  <c r="K15" i="2" s="1"/>
  <c r="K11" i="2"/>
  <c r="K10" i="2" s="1"/>
  <c r="J11" i="2"/>
  <c r="J10" i="2" s="1"/>
  <c r="I11" i="2"/>
  <c r="I10" i="2" s="1"/>
  <c r="H11" i="2"/>
  <c r="H10" i="2" s="1"/>
  <c r="G11" i="2"/>
  <c r="G10" i="2" s="1"/>
  <c r="F13" i="39"/>
  <c r="F11" i="2" s="1"/>
  <c r="F10" i="2" s="1"/>
  <c r="K5" i="39"/>
  <c r="K6" i="2" s="1"/>
  <c r="K5" i="2" s="1"/>
  <c r="J5" i="39"/>
  <c r="J6" i="2" s="1"/>
  <c r="J5" i="2" s="1"/>
  <c r="I5" i="39"/>
  <c r="I6" i="2" s="1"/>
  <c r="I5" i="2" s="1"/>
  <c r="H5" i="39"/>
  <c r="H6" i="2" s="1"/>
  <c r="H5" i="2" s="1"/>
  <c r="G5" i="39"/>
  <c r="G6" i="2" s="1"/>
  <c r="G5" i="2" s="1"/>
  <c r="F5" i="2"/>
  <c r="L1" i="39"/>
  <c r="I21" i="39" l="1"/>
  <c r="I16" i="2" s="1"/>
  <c r="I15" i="2" s="1"/>
  <c r="J21" i="39"/>
  <c r="J16" i="2" s="1"/>
  <c r="J15" i="2" s="1"/>
  <c r="F21" i="39"/>
  <c r="F16" i="2" s="1"/>
  <c r="F15" i="2" s="1"/>
  <c r="G21" i="39"/>
  <c r="G16" i="2" s="1"/>
  <c r="G15" i="2" s="1"/>
  <c r="H21" i="39"/>
  <c r="H16" i="2" s="1"/>
  <c r="H15" i="2" s="1"/>
  <c r="K1" i="21" l="1"/>
  <c r="K1" i="20"/>
  <c r="K1" i="19"/>
  <c r="L1" i="18"/>
  <c r="I1" i="15"/>
  <c r="I1" i="13"/>
  <c r="I1" i="12"/>
  <c r="I1" i="11"/>
  <c r="L1" i="10"/>
  <c r="I1" i="9"/>
  <c r="I1" i="8"/>
  <c r="I1" i="7"/>
  <c r="I1" i="6"/>
  <c r="I1" i="5"/>
  <c r="I1" i="4"/>
  <c r="K1" i="2"/>
  <c r="M1" i="1"/>
  <c r="B43" i="14" l="1"/>
  <c r="B42" i="14"/>
  <c r="B35" i="14"/>
  <c r="B34" i="14"/>
  <c r="B31" i="14" l="1"/>
  <c r="B30" i="14"/>
  <c r="B27" i="14" l="1"/>
  <c r="B23" i="14"/>
  <c r="B26" i="14"/>
  <c r="B22" i="14"/>
  <c r="F4" i="1" l="1"/>
  <c r="L4" i="1"/>
  <c r="K4" i="1"/>
  <c r="J4" i="1"/>
  <c r="I4" i="1"/>
  <c r="G4" i="1"/>
  <c r="H4" i="1"/>
</calcChain>
</file>

<file path=xl/sharedStrings.xml><?xml version="1.0" encoding="utf-8"?>
<sst xmlns="http://schemas.openxmlformats.org/spreadsheetml/2006/main" count="852" uniqueCount="451">
  <si>
    <t xml:space="preserve">CONTENTS PAGE: </t>
  </si>
  <si>
    <t>Preliminaries</t>
  </si>
  <si>
    <t>Financial Performance Overview</t>
  </si>
  <si>
    <t xml:space="preserve">Insurance and Medical Aids Sector </t>
  </si>
  <si>
    <t>Sectoral Overview</t>
  </si>
  <si>
    <t>Life Insurers</t>
  </si>
  <si>
    <t>General Insurers</t>
  </si>
  <si>
    <t>Reinsurers</t>
  </si>
  <si>
    <t>Insurance Brokers</t>
  </si>
  <si>
    <t>Medical Aids</t>
  </si>
  <si>
    <t>Retirement Funds Sector Overview</t>
  </si>
  <si>
    <t>Capital Markets Sector Overview</t>
  </si>
  <si>
    <t>Lending Activities Sector Overview</t>
  </si>
  <si>
    <t>TABLE 2.1</t>
  </si>
  <si>
    <t>THE NUMBER OF REGULATED ENTITIES PER REGULATORY DEPARTMENT</t>
  </si>
  <si>
    <t>NBFIs by Categories</t>
  </si>
  <si>
    <t>Total</t>
  </si>
  <si>
    <t>Retirement Funds</t>
  </si>
  <si>
    <t>Capital Markets</t>
  </si>
  <si>
    <t>Lending Activities</t>
  </si>
  <si>
    <t>TABLE 2.2</t>
  </si>
  <si>
    <t>FINANCIAL POSITION OVERVIEW OF NBFIs: BALANCE SHEET</t>
  </si>
  <si>
    <t>BWP MILLION</t>
  </si>
  <si>
    <t>Indicator</t>
  </si>
  <si>
    <t>Assets</t>
  </si>
  <si>
    <t xml:space="preserve">Retirement Funds </t>
  </si>
  <si>
    <t>Capital and Reserves</t>
  </si>
  <si>
    <t>-</t>
  </si>
  <si>
    <t xml:space="preserve">Lending Activities </t>
  </si>
  <si>
    <t>Liabilities</t>
  </si>
  <si>
    <t>*A</t>
  </si>
  <si>
    <t>TABLE 2.3</t>
  </si>
  <si>
    <t>FINANCIAL PERFORMANCE OVERVIEW OF NBFIs: INCOME STATEMENT</t>
  </si>
  <si>
    <t>Gross Income</t>
  </si>
  <si>
    <t>Total Expenditure</t>
  </si>
  <si>
    <t>Profit/Loss before Tax</t>
  </si>
  <si>
    <t>*0</t>
  </si>
  <si>
    <t>*1</t>
  </si>
  <si>
    <t>*2</t>
  </si>
  <si>
    <t>*3</t>
  </si>
  <si>
    <t>TABLE 3.01</t>
  </si>
  <si>
    <t>Life</t>
  </si>
  <si>
    <t>General</t>
  </si>
  <si>
    <t xml:space="preserve">Reinsurance </t>
  </si>
  <si>
    <t>Medical Aid Funds</t>
  </si>
  <si>
    <t>Brokers</t>
  </si>
  <si>
    <t>Corporate Agents</t>
  </si>
  <si>
    <t>Representatives</t>
  </si>
  <si>
    <t>TABLE 3.02</t>
  </si>
  <si>
    <t>INSURANCE AND MEDICAL AIDS OVERVIEW-FINANCIAL PERFORMANCE</t>
  </si>
  <si>
    <t xml:space="preserve">Capital &amp; Reserves*A </t>
  </si>
  <si>
    <t>Liabilities *A</t>
  </si>
  <si>
    <t>TABLE 3.03</t>
  </si>
  <si>
    <t>INSURANCE AND MEDICAL AIDS OVERVIEW-FINANCIAL PERFORMANCE: INCOME STATEMENT</t>
  </si>
  <si>
    <t>TABLE 3.11</t>
  </si>
  <si>
    <t>FINANCIAL PERFORMANCE OF LIFE INSURERS</t>
  </si>
  <si>
    <t>BWP Million</t>
  </si>
  <si>
    <t>Gross Premium Written</t>
  </si>
  <si>
    <t>Premiums Ceded</t>
  </si>
  <si>
    <t>Net Premiums Written</t>
  </si>
  <si>
    <t>Investment Income</t>
  </si>
  <si>
    <t>Reinsurance Recoveries</t>
  </si>
  <si>
    <t>Reinsurance Commission and Rebates</t>
  </si>
  <si>
    <t>Other Income</t>
  </si>
  <si>
    <t>Total Revenue</t>
  </si>
  <si>
    <t>Gross Benefits Paid</t>
  </si>
  <si>
    <t>Change in net policyholder liabilities</t>
  </si>
  <si>
    <t>Gross Acquisition Costs</t>
  </si>
  <si>
    <t>Operating Expenses</t>
  </si>
  <si>
    <t>Reinsurance Commission Paid</t>
  </si>
  <si>
    <t>Other Costs</t>
  </si>
  <si>
    <t>Net incurred claims</t>
  </si>
  <si>
    <t>Net acquisition costs</t>
  </si>
  <si>
    <t>Total Expenses*1</t>
  </si>
  <si>
    <t>Net Profit Before Taxes</t>
  </si>
  <si>
    <t>Tax</t>
  </si>
  <si>
    <t>Net Income After Tax</t>
  </si>
  <si>
    <t>TABLE 3.12</t>
  </si>
  <si>
    <t>FINANCIAL POSITION OF LIFE INSURERS</t>
  </si>
  <si>
    <t>Cash and Equivalents</t>
  </si>
  <si>
    <t>Non-Current Assets</t>
  </si>
  <si>
    <t>Other Current Assets*1</t>
  </si>
  <si>
    <t>Total Assets</t>
  </si>
  <si>
    <t>Insurance Liabilities</t>
  </si>
  <si>
    <t>Long-term Liabilities</t>
  </si>
  <si>
    <t>Other Current Liabilities</t>
  </si>
  <si>
    <t>Total Liabilities</t>
  </si>
  <si>
    <t>Share Capital</t>
  </si>
  <si>
    <t>Reserves</t>
  </si>
  <si>
    <t>Retained Earnings</t>
  </si>
  <si>
    <t>Total Capital</t>
  </si>
  <si>
    <t>Total Liabilities&amp; Equity</t>
  </si>
  <si>
    <t>According to the 2019 Annual Report, the life insurance assets were revised down by P6 billion to P15.4 billion due to the de-registeration of one life insurer. The other current assets figure was recallculated based on this point.</t>
  </si>
  <si>
    <t>TABLE 3.21</t>
  </si>
  <si>
    <t>FINANCIAL PERFORMANCE OF GENERAL INSURERS</t>
  </si>
  <si>
    <t>Premium Ceded</t>
  </si>
  <si>
    <t>Net Premium Written</t>
  </si>
  <si>
    <t>Change in UPR</t>
  </si>
  <si>
    <t>Net Premiums Earned</t>
  </si>
  <si>
    <t>Gross Incurred Claims</t>
  </si>
  <si>
    <t>less Reinsurance share of claims</t>
  </si>
  <si>
    <t>Claims Recovered and Claims Expenses</t>
  </si>
  <si>
    <t>Net Incurred Claims</t>
  </si>
  <si>
    <t>less Reinsurance commission</t>
  </si>
  <si>
    <t>Underwriting Expenses</t>
  </si>
  <si>
    <t>Total Underwriting Income</t>
  </si>
  <si>
    <t>Investments Income</t>
  </si>
  <si>
    <t>TABLE 3.22</t>
  </si>
  <si>
    <t>FINANCIAL POSITION OF GENERAL INSURERS</t>
  </si>
  <si>
    <t>Fixed Assets</t>
  </si>
  <si>
    <t>Other Current Assets</t>
  </si>
  <si>
    <t>Total Liabilities &amp; Equity</t>
  </si>
  <si>
    <t>TABLE 3.31</t>
  </si>
  <si>
    <t>FINANCIAL PERFORMANCE OF REINSURERS</t>
  </si>
  <si>
    <t>Less Reinsurance share of claims</t>
  </si>
  <si>
    <t>Net claims</t>
  </si>
  <si>
    <t>Less Reinsurance commission</t>
  </si>
  <si>
    <t>TABLE 3.32</t>
  </si>
  <si>
    <t>FINANCIAL POSITION OF REINSURERS</t>
  </si>
  <si>
    <t>Total Liabilities and Equity</t>
  </si>
  <si>
    <t>TABLE 3.41</t>
  </si>
  <si>
    <t>FINANCIAL PERFORMANCE OF INSURANCE BROKERS</t>
  </si>
  <si>
    <t>Commission Earned</t>
  </si>
  <si>
    <t>Other Revenue</t>
  </si>
  <si>
    <t>Operating expenses</t>
  </si>
  <si>
    <t>Other Expenses</t>
  </si>
  <si>
    <t>Related party expenses</t>
  </si>
  <si>
    <t>Total Expenses</t>
  </si>
  <si>
    <t>Net Income Before tax</t>
  </si>
  <si>
    <t xml:space="preserve">Net Income After Tax </t>
  </si>
  <si>
    <t>TABLE 3.42</t>
  </si>
  <si>
    <t>FINANCIAL POSITION OF INSURANCE BROKERS</t>
  </si>
  <si>
    <t>Current Assets</t>
  </si>
  <si>
    <t>Related Party Loans and assets</t>
  </si>
  <si>
    <t>Non- Current Assets</t>
  </si>
  <si>
    <t>Trade Payables</t>
  </si>
  <si>
    <t>Shareholders Loans/Related party payables</t>
  </si>
  <si>
    <t>Other Liabilities</t>
  </si>
  <si>
    <t>Capital</t>
  </si>
  <si>
    <t>Reserves and Retained Earnings</t>
  </si>
  <si>
    <t xml:space="preserve">Total Capital </t>
  </si>
  <si>
    <t xml:space="preserve">Total Capital and Liabilities </t>
  </si>
  <si>
    <t>TABLE 3.51</t>
  </si>
  <si>
    <t>FINANCIAL PERFORMANCE OF MEDICAL AID FUNDS</t>
  </si>
  <si>
    <t>Gross Contributions</t>
  </si>
  <si>
    <t>Total Claims</t>
  </si>
  <si>
    <t>Non-Health Expenditure</t>
  </si>
  <si>
    <t>Net Surplus</t>
  </si>
  <si>
    <t>TABLE 3.52</t>
  </si>
  <si>
    <t>Contributions</t>
  </si>
  <si>
    <t>Claims</t>
  </si>
  <si>
    <t>Net income from contributions</t>
  </si>
  <si>
    <t>Depreciation of PPE</t>
  </si>
  <si>
    <t>Dividend income</t>
  </si>
  <si>
    <t>Other income</t>
  </si>
  <si>
    <t>Fair value loss</t>
  </si>
  <si>
    <t>Non Health expenditure</t>
  </si>
  <si>
    <t>Interest paid</t>
  </si>
  <si>
    <t>Finance cost</t>
  </si>
  <si>
    <t>Share of profit on investments</t>
  </si>
  <si>
    <t>Surplus before taxation</t>
  </si>
  <si>
    <t>Taxation</t>
  </si>
  <si>
    <t>TABLE 4.11</t>
  </si>
  <si>
    <t>THE NUMBER OF RETIREMENT FUNDS MEMBERS</t>
  </si>
  <si>
    <t>NUMBER</t>
  </si>
  <si>
    <t>TABLE 4.12</t>
  </si>
  <si>
    <t>FINANCIAL PERFORMANCE OF RETIREMENT FUNDS</t>
  </si>
  <si>
    <t>Assets from Audited Statements</t>
  </si>
  <si>
    <t xml:space="preserve">Total Investments  </t>
  </si>
  <si>
    <t xml:space="preserve">Member Contributions  </t>
  </si>
  <si>
    <t xml:space="preserve">Employer Contributions  </t>
  </si>
  <si>
    <t xml:space="preserve">Investment Income  </t>
  </si>
  <si>
    <t xml:space="preserve">Income from life insurance  </t>
  </si>
  <si>
    <t xml:space="preserve">Other Income  </t>
  </si>
  <si>
    <t xml:space="preserve">Total Income  </t>
  </si>
  <si>
    <t xml:space="preserve">Benefit payments  </t>
  </si>
  <si>
    <t xml:space="preserve">Insurance Premiums  </t>
  </si>
  <si>
    <t xml:space="preserve">Administration, Management Expenses and Fees and Other expenses  </t>
  </si>
  <si>
    <t xml:space="preserve">Total Expenditure  </t>
  </si>
  <si>
    <t xml:space="preserve">Botswana Equities  </t>
  </si>
  <si>
    <t xml:space="preserve">Exchange Traded Funds  </t>
  </si>
  <si>
    <t xml:space="preserve">Pula Bonds  </t>
  </si>
  <si>
    <t xml:space="preserve">Botswana Property  </t>
  </si>
  <si>
    <t xml:space="preserve">Botswana Unlisted Equities  </t>
  </si>
  <si>
    <t xml:space="preserve">Total Botswana Investments  </t>
  </si>
  <si>
    <t xml:space="preserve">Offshore Equities  </t>
  </si>
  <si>
    <t xml:space="preserve">Offshore Bonds  </t>
  </si>
  <si>
    <t xml:space="preserve">Offshore Cash/Near Cash  </t>
  </si>
  <si>
    <t xml:space="preserve">Alternative Investment  </t>
  </si>
  <si>
    <t xml:space="preserve">Total Offshore Investments  </t>
  </si>
  <si>
    <t>Offshore Investments (Percent)</t>
  </si>
  <si>
    <t>Onshore Invesments (Percent)</t>
  </si>
  <si>
    <t>TABLE 5.01</t>
  </si>
  <si>
    <t>THE NUMBER OF CAPITAL MARKETS ENTITIES</t>
  </si>
  <si>
    <t>Securities Institutions</t>
  </si>
  <si>
    <t>Asset Managers</t>
  </si>
  <si>
    <t>Securities Brokers</t>
  </si>
  <si>
    <t>Investment Advisors</t>
  </si>
  <si>
    <t>Securities Infrastructure Businesses</t>
  </si>
  <si>
    <t>Market Makers</t>
  </si>
  <si>
    <t>Transfer Secretaries</t>
  </si>
  <si>
    <t>IFSC Accredited Entities</t>
  </si>
  <si>
    <t>Investment Institutions and Approved Funds</t>
  </si>
  <si>
    <t>Trustees</t>
  </si>
  <si>
    <t>Custodians</t>
  </si>
  <si>
    <t>Management Companies</t>
  </si>
  <si>
    <t>Local CIU Funds</t>
  </si>
  <si>
    <t>ICVC</t>
  </si>
  <si>
    <t>Virtual Asset Service Providers</t>
  </si>
  <si>
    <t>TABLE 5.02</t>
  </si>
  <si>
    <t>Asset Under Management (AUMs)*0</t>
  </si>
  <si>
    <t>Securities Infrastructure Businesses (SIBs)</t>
  </si>
  <si>
    <t>TABLE 5.03</t>
  </si>
  <si>
    <t>Table 5.11</t>
  </si>
  <si>
    <t>FINANCIAL PERFORMANCE OF SECURITIES INFRASTRUCTURE BUSINESSES (SIBs)</t>
  </si>
  <si>
    <t>Profit Before Tax</t>
  </si>
  <si>
    <t>Profit after tax</t>
  </si>
  <si>
    <t>Table 5.12</t>
  </si>
  <si>
    <t>FINANCIAL PERFORMANCE OF ASSET MANAGERS</t>
  </si>
  <si>
    <t>Profit After Tax</t>
  </si>
  <si>
    <t>Total Liabilities and  capital</t>
  </si>
  <si>
    <t>Table 5.13</t>
  </si>
  <si>
    <t>FINANCIAL PERFORMANCE OF MANAGEMENT COMPANIES</t>
  </si>
  <si>
    <t>Total Liabilities and capital</t>
  </si>
  <si>
    <t>Table 5.14</t>
  </si>
  <si>
    <t>Total liabilities and Equity</t>
  </si>
  <si>
    <t>Table 5.15</t>
  </si>
  <si>
    <t>FINANCIAL PERFORMANCE OF SECURITIES BROKERS/DEALERS</t>
  </si>
  <si>
    <t>Table 5.16</t>
  </si>
  <si>
    <t>Table 5.17</t>
  </si>
  <si>
    <t>TABLE 5.18</t>
  </si>
  <si>
    <t>ASSET UNDER MANAGEMENT BY CIUs AND NON-CIUs</t>
  </si>
  <si>
    <t>Retail</t>
  </si>
  <si>
    <t>Private/Other</t>
  </si>
  <si>
    <t>Table 6.01</t>
  </si>
  <si>
    <t>THE NUMBER OF REGULATED LENDING ENTITIES</t>
  </si>
  <si>
    <t>Micro-lenders</t>
  </si>
  <si>
    <t>Finance Companies</t>
  </si>
  <si>
    <t>Pawn shops</t>
  </si>
  <si>
    <t>Leasing Companies</t>
  </si>
  <si>
    <t>IFSC Accredited Companies</t>
  </si>
  <si>
    <t>Table 6.02</t>
  </si>
  <si>
    <t>FINANCIAL PERFORMANCE OF SELECTED MICRO LENDERS</t>
  </si>
  <si>
    <t>Interest Income</t>
  </si>
  <si>
    <t>Total Income*1</t>
  </si>
  <si>
    <t>Interest Expenses</t>
  </si>
  <si>
    <t>Net Income after tax</t>
  </si>
  <si>
    <t>Table 6.03</t>
  </si>
  <si>
    <t>FINANCIAL POSITION OF SELECTED MICRO LENDERS</t>
  </si>
  <si>
    <t>Non Current Assets</t>
  </si>
  <si>
    <t>Loan Book Values</t>
  </si>
  <si>
    <t>Current Assets*1</t>
  </si>
  <si>
    <t>Total Assets*A</t>
  </si>
  <si>
    <t>Equity</t>
  </si>
  <si>
    <t>Current  Liabilities</t>
  </si>
  <si>
    <t>Non Current  Liabilities</t>
  </si>
  <si>
    <t>Total Equity and Liabilities</t>
  </si>
  <si>
    <t>For 2017 till 2019, the value reported is the sum of current and non-current assets. Actual values were unavailable. For these years, data for current and non current liabilities were not available.</t>
  </si>
  <si>
    <t>The 2017 Assets figure is a correction from the 2022 Statistical Bulletin</t>
  </si>
  <si>
    <t>NBFIRA Contacts</t>
  </si>
  <si>
    <t>Reinsurance</t>
  </si>
  <si>
    <t>TABLE 2.4</t>
  </si>
  <si>
    <t>Warnings</t>
  </si>
  <si>
    <t>Directives</t>
  </si>
  <si>
    <t>Cancellations</t>
  </si>
  <si>
    <t>Temporary Closure</t>
  </si>
  <si>
    <t>Fit and Proper</t>
  </si>
  <si>
    <t>Department</t>
  </si>
  <si>
    <t>Enforcement Matters for NBFIs</t>
  </si>
  <si>
    <t>Penalties</t>
  </si>
  <si>
    <t>Liquidations</t>
  </si>
  <si>
    <t>Statutory Management Curatorship</t>
  </si>
  <si>
    <t>Retirement Funds Total</t>
  </si>
  <si>
    <t>Provident Funds</t>
  </si>
  <si>
    <t>Stand Alone</t>
  </si>
  <si>
    <t>Umbrella</t>
  </si>
  <si>
    <t>Pension Funds*1</t>
  </si>
  <si>
    <t xml:space="preserve">From 2013-2015, stand alone and umbrella funds reported under pension funds include provident funds. </t>
  </si>
  <si>
    <t>Total*1</t>
  </si>
  <si>
    <t xml:space="preserve"> Includes Representatives</t>
  </si>
  <si>
    <t>Total*2</t>
  </si>
  <si>
    <t>THE NUMBER OF REGULATED INSURANCE ENTITIES AND MEDICAL AID FUNDS</t>
  </si>
  <si>
    <t xml:space="preserve">2013 -2021 figures were reinstated </t>
  </si>
  <si>
    <t xml:space="preserve">2013-2021 figures were reinstated </t>
  </si>
  <si>
    <t>IFSC</t>
  </si>
  <si>
    <t>Net Profit Before Tax</t>
  </si>
  <si>
    <r>
      <rPr>
        <b/>
        <sz val="8"/>
        <color theme="1"/>
        <rFont val="Tahom"/>
      </rPr>
      <t>Total Revenue</t>
    </r>
    <r>
      <rPr>
        <sz val="8"/>
        <color theme="1"/>
        <rFont val="Tahom"/>
      </rPr>
      <t>=Net Premiums Earned+Investment Income+Other Income</t>
    </r>
  </si>
  <si>
    <r>
      <rPr>
        <b/>
        <sz val="8"/>
        <color theme="1"/>
        <rFont val="Tahom"/>
      </rPr>
      <t>Total Expenses</t>
    </r>
    <r>
      <rPr>
        <sz val="8"/>
        <color theme="1"/>
        <rFont val="Tahom"/>
      </rPr>
      <t>=Underwriting Expenses</t>
    </r>
  </si>
  <si>
    <r>
      <rPr>
        <b/>
        <sz val="8"/>
        <color theme="1"/>
        <rFont val="Tahom"/>
      </rPr>
      <t>Net Profit Before Tax</t>
    </r>
    <r>
      <rPr>
        <sz val="8"/>
        <color theme="1"/>
        <rFont val="Tahom"/>
      </rPr>
      <t>=Total Revenue-Total Expenses</t>
    </r>
  </si>
  <si>
    <r>
      <rPr>
        <b/>
        <sz val="8"/>
        <color theme="1"/>
        <rFont val="Tahom"/>
      </rPr>
      <t>Total Revenue</t>
    </r>
    <r>
      <rPr>
        <sz val="8"/>
        <color theme="1"/>
        <rFont val="Tahom"/>
      </rPr>
      <t>=Net Income from Contributions+Dividend Income+Other Income+Share of Profit on Investments</t>
    </r>
  </si>
  <si>
    <r>
      <rPr>
        <b/>
        <sz val="8"/>
        <color theme="1"/>
        <rFont val="Tahom"/>
      </rPr>
      <t>Total Expenses</t>
    </r>
    <r>
      <rPr>
        <sz val="8"/>
        <color theme="1"/>
        <rFont val="Tahom"/>
      </rPr>
      <t>=Non-Health Expenditure+Fairvalue Loss+Finance Costs</t>
    </r>
  </si>
  <si>
    <t>Net Income Before Tax*1</t>
  </si>
  <si>
    <t>Retirement Funds *2</t>
  </si>
  <si>
    <t xml:space="preserve">AUMs report in real time at the period of compilation. </t>
  </si>
  <si>
    <t>Institutional Pension</t>
  </si>
  <si>
    <t>Institutional Insurance</t>
  </si>
  <si>
    <t>Reported separately from year 2023</t>
  </si>
  <si>
    <t>FINANCIAL PERFORMANCE OF INVESTMENT ADVISORS</t>
  </si>
  <si>
    <t>FINANCIAL PERFORMANCE OF TRANSFER SECRETARIES</t>
  </si>
  <si>
    <t>Corporate Agents*2</t>
  </si>
  <si>
    <t>Representatives*2</t>
  </si>
  <si>
    <t>Medical Aid Funds*1</t>
  </si>
  <si>
    <t>Some data is not available</t>
  </si>
  <si>
    <t>Indicator*1</t>
  </si>
  <si>
    <t>Not Applicable. Retirement Funds does not report profit/loss</t>
  </si>
  <si>
    <t>Not Applicable. Entities do not submit data on financial statements</t>
  </si>
  <si>
    <t>Indicator*2</t>
  </si>
  <si>
    <t xml:space="preserve">Pula Cash/Near Cash  </t>
  </si>
  <si>
    <t>Some data are not available</t>
  </si>
  <si>
    <t>Enforcement Matters for Insurance and Medical Aid Funds</t>
  </si>
  <si>
    <t>Enforcement Matters for Retirement Funds</t>
  </si>
  <si>
    <t>Enforcement Matters for Capital Market Entities</t>
  </si>
  <si>
    <t>Enforcement Matters for Lending Activities</t>
  </si>
  <si>
    <t>Number</t>
  </si>
  <si>
    <t>Insurance and Medical Aid Funds</t>
  </si>
  <si>
    <t>Table 4.13</t>
  </si>
  <si>
    <t>Table 3.04</t>
  </si>
  <si>
    <t>Table 5.04</t>
  </si>
  <si>
    <t>Table 6.04</t>
  </si>
  <si>
    <t>Freezing of Accounts</t>
  </si>
  <si>
    <t>Suspensions</t>
  </si>
  <si>
    <t>Total Expenditure*3</t>
  </si>
  <si>
    <t>*4</t>
  </si>
  <si>
    <t>Gross Premium Written*2</t>
  </si>
  <si>
    <t>Allocation of Premiums from 2023</t>
  </si>
  <si>
    <t>Underwriting Expenses*3</t>
  </si>
  <si>
    <t>GWP*2</t>
  </si>
  <si>
    <t>Insurance Revenue used from 2023 (IFRS 17)</t>
  </si>
  <si>
    <t>Total Non-Insurance Revenue and Income</t>
  </si>
  <si>
    <t>Total Expenses*4</t>
  </si>
  <si>
    <t>Insurance Service Results</t>
  </si>
  <si>
    <t>Profit/Loss before Tax*5</t>
  </si>
  <si>
    <t>*5</t>
  </si>
  <si>
    <t>Profit/Loss after Tax from 2023</t>
  </si>
  <si>
    <t>Non-CIUs</t>
  </si>
  <si>
    <t>CIUs</t>
  </si>
  <si>
    <t>*</t>
  </si>
  <si>
    <t>Includes Investment Advisors, IFSC and Transfer Secretaries</t>
  </si>
  <si>
    <t>**</t>
  </si>
  <si>
    <t>TABLE 4.14</t>
  </si>
  <si>
    <t xml:space="preserve">ABRIDGED BALANCE SHEET OF THE RETIREMENT FUNDS INDUSTRY </t>
  </si>
  <si>
    <t>Retirement Funds Reserves</t>
  </si>
  <si>
    <t>TABLE 2.5</t>
  </si>
  <si>
    <t>NBFI Assets to Gross Domestic Product</t>
  </si>
  <si>
    <t>NBFI assets to gross domestic product</t>
  </si>
  <si>
    <t>NBFI assets to gross domestic product: Money Market funds</t>
  </si>
  <si>
    <t>NBFI assets to gross domestic product: Insurance Corporations</t>
  </si>
  <si>
    <t>NBFI assets to gross domestic product: Pension Funds</t>
  </si>
  <si>
    <t>Money Market Funds</t>
  </si>
  <si>
    <t>Sectoral distribution of investments</t>
  </si>
  <si>
    <t>Sectoral distribution of investments:Residents</t>
  </si>
  <si>
    <t>Sectoral distribution of investments: Central bank</t>
  </si>
  <si>
    <t>Sectoral distribution of investments: Deposit takers</t>
  </si>
  <si>
    <t>Sectoral distribution of investments: Other financial corporations</t>
  </si>
  <si>
    <t>Sectoral distribution of investments: Central government</t>
  </si>
  <si>
    <t>Sectoral distribution of investments: Other general government</t>
  </si>
  <si>
    <t>Sectoral distribution of investments: Nonfinancial corporations</t>
  </si>
  <si>
    <t>Sectoral distribution of investments: Nonresidents</t>
  </si>
  <si>
    <t>Capital Adequacy</t>
  </si>
  <si>
    <t>Solvency Ratios</t>
  </si>
  <si>
    <t>Liquidity Ratios</t>
  </si>
  <si>
    <t>Insurance Corporations</t>
  </si>
  <si>
    <t>Shareholder equity to total invested assets (Life insurance only)</t>
  </si>
  <si>
    <t>Shareholder equity to total invested assets (Nonlife insurance only)</t>
  </si>
  <si>
    <t>Shareholder equity to total invested assets (Life insurance &amp; nonlife insurance)</t>
  </si>
  <si>
    <t>Combined ratio (Nonlife insurance only)</t>
  </si>
  <si>
    <t>Return on assets (Life insurance only)</t>
  </si>
  <si>
    <t>Return on equity (Life insurance only)</t>
  </si>
  <si>
    <t>Return on equity (Nonlife insurance only)</t>
  </si>
  <si>
    <t>Return on equity (Life insurance &amp; nonlife insurance)</t>
  </si>
  <si>
    <t>Life Insurers Average PCT</t>
  </si>
  <si>
    <t>General Insurers Average PCT</t>
  </si>
  <si>
    <t>Reinsurers Average PCT</t>
  </si>
  <si>
    <t>Insurance Brokers Average Solvency</t>
  </si>
  <si>
    <t>Pension Funds</t>
  </si>
  <si>
    <t>Return on assets</t>
  </si>
  <si>
    <t>Macroprudential Indicator</t>
  </si>
  <si>
    <t>Insurance Assets/GDP</t>
  </si>
  <si>
    <t>Size of Top 5 Life Insurance Companies/Total Insurance Industry (BWP Million)</t>
  </si>
  <si>
    <t>Size of Top 5 General Insurance Companies/Total Insurance Industry Assets (BWP Million)</t>
  </si>
  <si>
    <t>Solvency ratio for short term insurance</t>
  </si>
  <si>
    <t>Free Assets/Capital</t>
  </si>
  <si>
    <t>Insurance penetration ratio(GWP/GDP)</t>
  </si>
  <si>
    <t>Pension Assets/GDP</t>
  </si>
  <si>
    <t>Size of Top 5 Five Pension Fund Assets/Total Pension Funds' Assets</t>
  </si>
  <si>
    <t>Funding Ratio(Contributions/Benefits Due)</t>
  </si>
  <si>
    <t>Pension Penetration Ratio</t>
  </si>
  <si>
    <t>Non-Bank Lenders</t>
  </si>
  <si>
    <t>Total Micro-lender Assets/GDP</t>
  </si>
  <si>
    <t>Size of Top 6 Micro-lenders/Total Micro-lenders Assets</t>
  </si>
  <si>
    <t>Top 6 NPLs/Total Loans</t>
  </si>
  <si>
    <t>Top 6 NPLs(Net of Specific Provisions/Total Capital)</t>
  </si>
  <si>
    <t>FINANCIAL SOUNDNESS INDICATORS OF THE NBFI SECTOR</t>
  </si>
  <si>
    <t>MACROPRUDENTIAL INDICATORS OF THE NBFI SECTOR</t>
  </si>
  <si>
    <t>TABLE 2.6</t>
  </si>
  <si>
    <t>Total Expenses include insurance service expenses and other operating expenses</t>
  </si>
  <si>
    <t>Dual Listed Equities*</t>
  </si>
  <si>
    <t>Moved from Offshore to Onshore Investments in 2023</t>
  </si>
  <si>
    <t>Securities Services**</t>
  </si>
  <si>
    <t>Buying and Selling of Securities now referred to as Securities Services</t>
  </si>
  <si>
    <t>Professional Investor*1</t>
  </si>
  <si>
    <t>Table 6.05</t>
  </si>
  <si>
    <t>Financial Performance of IFSCs</t>
  </si>
  <si>
    <t>BWP BILLION</t>
  </si>
  <si>
    <t>Income</t>
  </si>
  <si>
    <t>Expenses</t>
  </si>
  <si>
    <t>Assets*1</t>
  </si>
  <si>
    <t>Capital Markets*2</t>
  </si>
  <si>
    <t>Assets were reinstated to exclude AUMs</t>
  </si>
  <si>
    <t xml:space="preserve">*3 </t>
  </si>
  <si>
    <t>Profit After Tax is reported for Insurance and Medical Aid Funds</t>
  </si>
  <si>
    <t>The financial performance of life, general and reinsurers is based on the IFRS17 standard</t>
  </si>
  <si>
    <t>Insurance and Medical Aid Funds*2</t>
  </si>
  <si>
    <t>Capital Markets*3</t>
  </si>
  <si>
    <t>Retirement Funds*4</t>
  </si>
  <si>
    <t>Insurance and Medical Aid Funds*1</t>
  </si>
  <si>
    <t>Insurance and Medical Aid Funds*1*3</t>
  </si>
  <si>
    <t>GWP (Life, General)*4</t>
  </si>
  <si>
    <t>Investment Institutions (Asset Managers and Management Companies)</t>
  </si>
  <si>
    <t>Size of Life DSIFI Insurance company/ Total Life Insurance Companies*</t>
  </si>
  <si>
    <t>Insurance*1</t>
  </si>
  <si>
    <t>*1:</t>
  </si>
  <si>
    <t>Data inadequacy due to transition of reporting from IFRS4 to IFRS17</t>
  </si>
  <si>
    <t xml:space="preserve">DSIFI were first identified in 2023. Data prior to 2023 not available </t>
  </si>
  <si>
    <t>2014-2022 data not available</t>
  </si>
  <si>
    <t>Micro Lenders</t>
  </si>
  <si>
    <t>Portfolio Yield (Percent)</t>
  </si>
  <si>
    <t>Operating Cost Ratio</t>
  </si>
  <si>
    <t>Net Profit Ratio</t>
  </si>
  <si>
    <t>Portfolio Value as a Percentage of Total Assets</t>
  </si>
  <si>
    <t>Debt-to-Equity</t>
  </si>
  <si>
    <t>Average Capital Adequacy</t>
  </si>
  <si>
    <t>Average Liquidity</t>
  </si>
  <si>
    <t>Return on Equity (ROE)</t>
  </si>
  <si>
    <t>Size of General DSIFI Insurance company/ Total General Insurance Companies*</t>
  </si>
  <si>
    <t>Size of Reinsurance DSIFI  company/ Total Reinsurance Companies*</t>
  </si>
  <si>
    <t>Capital of Life DSIFI Insurance company/ Total Capital Life Insurance Companies*</t>
  </si>
  <si>
    <t>Capital of General DSIFI Insurance company/ Total Capital General Insurance Companies*</t>
  </si>
  <si>
    <t>Capital of Reinsurance DSIFI  company/ Total Capital Reinsurance Companies*</t>
  </si>
  <si>
    <t>Total expenses include insurance service expenses and other operating expenses for Life Insurers. For General Insurers, total expenses include insurance service expenses, other operating expenses and net incurred claims.</t>
  </si>
  <si>
    <t>Insurance Revenue for 2023 (IFRS17)</t>
  </si>
  <si>
    <t>Total Revenue*3</t>
  </si>
  <si>
    <t>Some data not available</t>
  </si>
  <si>
    <t>Indicator*</t>
  </si>
  <si>
    <t>Fund Administrators</t>
  </si>
  <si>
    <t>Total*</t>
  </si>
  <si>
    <t>Capital Markets*</t>
  </si>
  <si>
    <t>FINANCIAL POSITION OVERVIEW OF CAPITAL MARKETS</t>
  </si>
  <si>
    <t>FINANCIAL PERFORMANCE OVERVIEW OF CAPITAL MARKETS</t>
  </si>
  <si>
    <t>FINANCIAL PERFORMANCE OF IFSCs</t>
  </si>
  <si>
    <t>NBFIRA 2024 STATISTICAL BULLETIN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</si>
</sst>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0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_-* #,##0_-;\-* #,##0_-;_-* &quot;-&quot;??_-;_-@_-"/>
    <numFmt numFmtId="168" formatCode="_(* #,##0_);_(* \(#,##0\);_(* &quot;-&quot;??_);_(@_)"/>
    <numFmt numFmtId="169" formatCode="0.0%"/>
    <numFmt numFmtId="170" formatCode="\ \ \ \ \ @"/>
    <numFmt numFmtId="171" formatCode="&quot;R&quot;#,##0.00_-;&quot;R&quot;#,##0.00\-"/>
    <numFmt numFmtId="172" formatCode="&quot;R&quot;#,##0.00_-;[Red]&quot;R&quot;#,##0.00\-"/>
    <numFmt numFmtId="173" formatCode="_-* #,##0_-;_-* #,##0\-;_-* &quot;-&quot;_-;_-@_-"/>
    <numFmt numFmtId="174" formatCode="#,##0\ &quot;DM&quot;;[Red]\-#,##0\ &quot;DM&quot;"/>
    <numFmt numFmtId="175" formatCode="&quot;£&quot;#,##0_);[Red]\(&quot;£&quot;#,##0\)"/>
    <numFmt numFmtId="176" formatCode="_ &quot;SFr.&quot;\ * #,##0.00_ ;_ &quot;SFr.&quot;\ * \-#,##0.00_ ;_ &quot;SFr.&quot;\ * &quot;-&quot;??_ ;_ @_ "/>
    <numFmt numFmtId="177" formatCode="_-&quot;L.&quot;\ * #,##0_-;\-&quot;L.&quot;\ * #,##0_-;_-&quot;L.&quot;\ * &quot;-&quot;_-;_-@_-"/>
    <numFmt numFmtId="178" formatCode="#,##0.00\ &quot;Pts&quot;;[Red]\-#,##0.00\ &quot;Pts&quot;"/>
    <numFmt numFmtId="179" formatCode="_-* #,##0\ &quot;F&quot;_-;\-* #,##0\ &quot;F&quot;_-;_-* &quot;-&quot;\ &quot;F&quot;_-;_-@_-"/>
    <numFmt numFmtId="180" formatCode="_-* #,##0\ _F_-;\-* #,##0\ _F_-;_-* &quot;-&quot;\ _F_-;_-@_-"/>
    <numFmt numFmtId="181" formatCode="_-* #,##0.00\ &quot;F&quot;_-;\-* #,##0.00\ &quot;F&quot;_-;_-* &quot;-&quot;??\ &quot;F&quot;_-;_-@_-"/>
    <numFmt numFmtId="182" formatCode="_-* #,##0.00\ _F_-;\-* #,##0.00\ _F_-;_-* &quot;-&quot;??\ _F_-;_-@_-"/>
    <numFmt numFmtId="183" formatCode="_ * #,##0_)\ _F_ ;_ * \(#,##0\)\ _F_ ;_ * &quot;-&quot;_)\ _F_ ;_ @_ "/>
    <numFmt numFmtId="184" formatCode="_ * #,##0.00_ ;_ * \-#,##0.00_ ;_ * &quot;-&quot;??_ ;_ @_ "/>
    <numFmt numFmtId="185" formatCode="#,##0.0"/>
    <numFmt numFmtId="186" formatCode="_-[$€-2]* #,##0.00_-;\-[$€-2]* #,##0.00_-;_-[$€-2]* &quot;-&quot;??_-"/>
    <numFmt numFmtId="187" formatCode="&quot;   &quot;@"/>
    <numFmt numFmtId="188" formatCode="&quot;      &quot;@"/>
    <numFmt numFmtId="189" formatCode="&quot;         &quot;@"/>
    <numFmt numFmtId="190" formatCode="&quot;            &quot;@"/>
    <numFmt numFmtId="191" formatCode="&quot;               &quot;@"/>
    <numFmt numFmtId="192" formatCode="[Black][&gt;0.05]#,##0.0;[Black][&lt;-0.05]\-#,##0.0;;"/>
    <numFmt numFmtId="193" formatCode="[Black][&gt;0.5]#,##0;[Black][&lt;-0.5]\-#,##0;;"/>
    <numFmt numFmtId="194" formatCode="dd\-mmm\-yy_)"/>
    <numFmt numFmtId="195" formatCode="\M\o\n\t\h\ \D.\y\y\y\y"/>
    <numFmt numFmtId="196" formatCode="0.00_)"/>
    <numFmt numFmtId="197" formatCode="General_)"/>
    <numFmt numFmtId="198" formatCode="0.0"/>
    <numFmt numFmtId="199" formatCode="#,##0.000000"/>
    <numFmt numFmtId="200" formatCode="[Black]#,##0.0;[Black]\-#,##0.0;;"/>
    <numFmt numFmtId="201" formatCode="[&gt;=0.05]#,##0.0;[&lt;=-0.05]\-#,##0.0;?0.0"/>
    <numFmt numFmtId="202" formatCode="0_)"/>
    <numFmt numFmtId="203" formatCode="#.##000"/>
    <numFmt numFmtId="204" formatCode="%#,#00"/>
    <numFmt numFmtId="205" formatCode="#,#00"/>
    <numFmt numFmtId="206" formatCode="#.##0,"/>
    <numFmt numFmtId="207" formatCode="\$#,"/>
    <numFmt numFmtId="208" formatCode="&quot;Cr$&quot;#,##0_);[Red]\(&quot;Cr$&quot;#,##0\)"/>
    <numFmt numFmtId="209" formatCode="&quot;Cr$&quot;#,##0.00_);[Red]\(&quot;Cr$&quot;#,##0.00\)"/>
    <numFmt numFmtId="210" formatCode="\$#,##0.00\ ;\(\$#,##0.00\)"/>
    <numFmt numFmtId="211" formatCode="&quot;$&quot;#,#00"/>
    <numFmt numFmtId="212" formatCode="&quot;$&quot;#,"/>
    <numFmt numFmtId="213" formatCode="#,##0.0____"/>
    <numFmt numFmtId="214" formatCode="#,##0;[Red]\(#,##0\)"/>
    <numFmt numFmtId="215" formatCode="General\ \ \ \ \ \ "/>
    <numFmt numFmtId="216" formatCode="0.0\ \ \ \ \ \ \ \ "/>
    <numFmt numFmtId="217" formatCode="mmmm\ yyyy"/>
    <numFmt numFmtId="218" formatCode="#,##0;\(#,##0\)"/>
    <numFmt numFmtId="219" formatCode="#,###;\(#,###\)"/>
    <numFmt numFmtId="220" formatCode="_(* #,##0.0_);_(* \(#,##0.0\);_(* &quot;-&quot;??_);_(@_)"/>
    <numFmt numFmtId="221" formatCode="_-* #,##0.0_-;\-* #,##0.0_-;_-* &quot;-&quot;??_-;_-@_-"/>
  </numFmts>
  <fonts count="139"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ahom"/>
    </font>
    <font>
      <sz val="11"/>
      <color theme="1"/>
      <name val="Tahom"/>
    </font>
    <font>
      <b/>
      <sz val="8"/>
      <color rgb="FF000000"/>
      <name val="Tahom"/>
    </font>
    <font>
      <sz val="8"/>
      <color rgb="FF000000"/>
      <name val="Tahom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sz val="10"/>
      <name val="Helv"/>
    </font>
    <font>
      <shadow/>
      <sz val="8"/>
      <color indexed="12"/>
      <name val="Times New Roman"/>
      <family val="1"/>
    </font>
    <font>
      <sz val="12"/>
      <name val="Times New Roman"/>
      <family val="1"/>
    </font>
    <font>
      <b/>
      <sz val="12"/>
      <name val="Univers (WN)"/>
    </font>
    <font>
      <sz val="10"/>
      <name val="Univers (E1)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i/>
      <sz val="16"/>
      <name val="Helv"/>
    </font>
    <font>
      <b/>
      <i/>
      <sz val="10"/>
      <name val="Times New Roman"/>
      <family val="1"/>
    </font>
    <font>
      <i/>
      <sz val="1"/>
      <color indexed="8"/>
      <name val="Courier"/>
      <family val="3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b/>
      <sz val="11"/>
      <color indexed="8"/>
      <name val="Verdana"/>
      <family val="2"/>
    </font>
    <font>
      <sz val="9"/>
      <name val="Tms Rmn"/>
    </font>
    <font>
      <sz val="12"/>
      <name val="Helv"/>
    </font>
    <font>
      <sz val="10"/>
      <name val="MS Sans Serif"/>
      <family val="2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1"/>
      <color indexed="8"/>
      <name val="Times New Roman"/>
      <family val="1"/>
    </font>
    <font>
      <u/>
      <sz val="5"/>
      <color indexed="12"/>
      <name val="Courier"/>
      <family val="3"/>
    </font>
    <font>
      <u/>
      <sz val="10"/>
      <color indexed="36"/>
      <name val="Arial"/>
      <family val="2"/>
    </font>
    <font>
      <sz val="10"/>
      <color indexed="18"/>
      <name val="Times New Roman"/>
      <family val="1"/>
    </font>
    <font>
      <u/>
      <sz val="10"/>
      <name val="Times New Roman"/>
      <family val="1"/>
    </font>
    <font>
      <sz val="10"/>
      <color indexed="19"/>
      <name val="Times New Roman"/>
      <family val="1"/>
    </font>
    <font>
      <sz val="12"/>
      <name val="Tms Rmn"/>
    </font>
    <font>
      <b/>
      <sz val="10"/>
      <color indexed="9"/>
      <name val="Times New Roman"/>
      <family val="1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u/>
      <sz val="10"/>
      <color indexed="12"/>
      <name val="Arial"/>
      <family val="2"/>
    </font>
    <font>
      <b/>
      <sz val="12"/>
      <color theme="1"/>
      <name val="Times New Roman"/>
      <family val="1"/>
    </font>
    <font>
      <b/>
      <i/>
      <sz val="11"/>
      <color theme="1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name val="Tahoma"/>
      <family val="2"/>
    </font>
    <font>
      <b/>
      <sz val="11"/>
      <color theme="1"/>
      <name val="Tahoma"/>
      <family val="2"/>
    </font>
    <font>
      <sz val="11"/>
      <color rgb="FF000000"/>
      <name val="Tahoma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8"/>
      <name val="Tahom"/>
    </font>
    <font>
      <sz val="8"/>
      <color theme="1"/>
      <name val="Tahom"/>
    </font>
    <font>
      <b/>
      <sz val="8"/>
      <color theme="1"/>
      <name val="Tahom"/>
    </font>
    <font>
      <sz val="8"/>
      <color theme="1"/>
      <name val="Calibri"/>
      <family val="2"/>
      <scheme val="minor"/>
    </font>
  </fonts>
  <fills count="8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00">
    <xf numFmtId="0" fontId="0" fillId="0" borderId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10" borderId="13" applyNumberFormat="0" applyAlignment="0" applyProtection="0"/>
    <xf numFmtId="0" fontId="24" fillId="11" borderId="14" applyNumberFormat="0" applyAlignment="0" applyProtection="0"/>
    <xf numFmtId="0" fontId="25" fillId="11" borderId="13" applyNumberFormat="0" applyAlignment="0" applyProtection="0"/>
    <xf numFmtId="0" fontId="26" fillId="0" borderId="15" applyNumberFormat="0" applyFill="0" applyAlignment="0" applyProtection="0"/>
    <xf numFmtId="0" fontId="27" fillId="12" borderId="16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" fillId="0" borderId="18" applyNumberFormat="0" applyFill="0" applyAlignment="0" applyProtection="0"/>
    <xf numFmtId="0" fontId="30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30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30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30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30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30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31" fillId="0" borderId="0"/>
    <xf numFmtId="0" fontId="32" fillId="0" borderId="0"/>
    <xf numFmtId="0" fontId="33" fillId="0" borderId="0"/>
    <xf numFmtId="43" fontId="8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9" borderId="0" applyNumberFormat="0" applyBorder="0" applyAlignment="0" applyProtection="0"/>
    <xf numFmtId="0" fontId="30" fillId="17" borderId="0" applyNumberFormat="0" applyBorder="0" applyAlignment="0" applyProtection="0"/>
    <xf numFmtId="0" fontId="30" fillId="21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33" borderId="0" applyNumberFormat="0" applyBorder="0" applyAlignment="0" applyProtection="0"/>
    <xf numFmtId="0" fontId="30" fillId="37" borderId="0" applyNumberFormat="0" applyBorder="0" applyAlignment="0" applyProtection="0"/>
    <xf numFmtId="0" fontId="8" fillId="0" borderId="0"/>
    <xf numFmtId="0" fontId="8" fillId="13" borderId="17" applyNumberFormat="0" applyFont="0" applyAlignment="0" applyProtection="0"/>
    <xf numFmtId="170" fontId="33" fillId="0" borderId="0" applyNumberFormat="0" applyFill="0" applyBorder="0" applyAlignment="0"/>
    <xf numFmtId="175" fontId="33" fillId="0" borderId="0" applyFont="0" applyFill="0" applyBorder="0" applyAlignment="0" applyProtection="0"/>
    <xf numFmtId="178" fontId="32" fillId="0" borderId="0" applyFont="0" applyFill="0" applyBorder="0" applyAlignment="0" applyProtection="0">
      <protection locked="0"/>
    </xf>
    <xf numFmtId="39" fontId="38" fillId="0" borderId="0" applyFont="0" applyFill="0" applyBorder="0" applyAlignment="0" applyProtection="0"/>
    <xf numFmtId="177" fontId="33" fillId="0" borderId="0" applyFont="0" applyFill="0" applyBorder="0" applyAlignment="0"/>
    <xf numFmtId="37" fontId="39" fillId="0" borderId="0" applyFill="0" applyBorder="0" applyAlignment="0">
      <protection locked="0"/>
    </xf>
    <xf numFmtId="169" fontId="39" fillId="0" borderId="4" applyFill="0" applyBorder="0" applyAlignment="0">
      <alignment horizontal="center"/>
      <protection locked="0"/>
    </xf>
    <xf numFmtId="178" fontId="32" fillId="0" borderId="0" applyFill="0" applyBorder="0" applyAlignment="0">
      <protection locked="0"/>
    </xf>
    <xf numFmtId="177" fontId="33" fillId="0" borderId="0" applyFill="0" applyBorder="0" applyAlignment="0" applyProtection="0">
      <protection locked="0"/>
    </xf>
    <xf numFmtId="180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40" fillId="0" borderId="0"/>
    <xf numFmtId="170" fontId="33" fillId="0" borderId="0" applyFill="0" applyBorder="0" applyAlignment="0"/>
    <xf numFmtId="174" fontId="33" fillId="0" borderId="8" applyFont="0" applyFill="0" applyBorder="0" applyAlignment="0" applyProtection="0">
      <alignment horizontal="right"/>
    </xf>
    <xf numFmtId="173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38" fontId="41" fillId="0" borderId="0" applyFill="0" applyBorder="0" applyAlignment="0" applyProtection="0"/>
    <xf numFmtId="173" fontId="33" fillId="0" borderId="0" applyFill="0" applyBorder="0" applyAlignment="0" applyProtection="0"/>
    <xf numFmtId="183" fontId="32" fillId="0" borderId="0" applyFont="0" applyFill="0" applyBorder="0" applyAlignment="0" applyProtection="0">
      <alignment horizontal="left"/>
    </xf>
    <xf numFmtId="10" fontId="42" fillId="0" borderId="9" applyNumberFormat="0" applyFont="0" applyFill="0" applyAlignment="0" applyProtection="0"/>
    <xf numFmtId="176" fontId="33" fillId="0" borderId="20" applyFont="0" applyFill="0" applyBorder="0" applyAlignment="0" applyProtection="0"/>
    <xf numFmtId="0" fontId="33" fillId="0" borderId="0"/>
    <xf numFmtId="0" fontId="8" fillId="0" borderId="0"/>
    <xf numFmtId="184" fontId="8" fillId="0" borderId="0" applyFont="0" applyFill="0" applyBorder="0" applyAlignment="0" applyProtection="0"/>
    <xf numFmtId="184" fontId="33" fillId="0" borderId="0" applyFont="0" applyFill="0" applyBorder="0" applyAlignment="0" applyProtection="0"/>
    <xf numFmtId="0" fontId="32" fillId="0" borderId="0"/>
    <xf numFmtId="187" fontId="44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189" fontId="44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43" borderId="0" applyNumberFormat="0" applyBorder="0" applyAlignment="0" applyProtection="0"/>
    <xf numFmtId="0" fontId="43" fillId="43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191" fontId="44" fillId="0" borderId="0" applyFont="0" applyFill="0" applyBorder="0" applyAlignment="0" applyProtection="0"/>
    <xf numFmtId="0" fontId="54" fillId="50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51" borderId="0" applyNumberFormat="0" applyBorder="0" applyAlignment="0" applyProtection="0"/>
    <xf numFmtId="0" fontId="54" fillId="52" borderId="0" applyNumberFormat="0" applyBorder="0" applyAlignment="0" applyProtection="0"/>
    <xf numFmtId="0" fontId="54" fillId="53" borderId="0" applyNumberFormat="0" applyBorder="0" applyAlignment="0" applyProtection="0"/>
    <xf numFmtId="0" fontId="54" fillId="54" borderId="0" applyNumberFormat="0" applyBorder="0" applyAlignment="0" applyProtection="0"/>
    <xf numFmtId="0" fontId="54" fillId="55" borderId="0" applyNumberFormat="0" applyBorder="0" applyAlignment="0" applyProtection="0"/>
    <xf numFmtId="0" fontId="54" fillId="56" borderId="0" applyNumberFormat="0" applyBorder="0" applyAlignment="0" applyProtection="0"/>
    <xf numFmtId="0" fontId="54" fillId="51" borderId="0" applyNumberFormat="0" applyBorder="0" applyAlignment="0" applyProtection="0"/>
    <xf numFmtId="0" fontId="54" fillId="52" borderId="0" applyNumberFormat="0" applyBorder="0" applyAlignment="0" applyProtection="0"/>
    <xf numFmtId="0" fontId="54" fillId="57" borderId="0" applyNumberFormat="0" applyBorder="0" applyAlignment="0" applyProtection="0"/>
    <xf numFmtId="0" fontId="55" fillId="41" borderId="0" applyNumberFormat="0" applyBorder="0" applyAlignment="0" applyProtection="0"/>
    <xf numFmtId="0" fontId="56" fillId="58" borderId="23" applyNumberFormat="0" applyAlignment="0" applyProtection="0"/>
    <xf numFmtId="0" fontId="57" fillId="59" borderId="24" applyNumberFormat="0" applyAlignment="0" applyProtection="0"/>
    <xf numFmtId="1" fontId="45" fillId="39" borderId="19">
      <alignment horizontal="right" vertical="center"/>
    </xf>
    <xf numFmtId="0" fontId="46" fillId="39" borderId="19">
      <alignment horizontal="right" vertical="center"/>
    </xf>
    <xf numFmtId="0" fontId="33" fillId="39" borderId="22"/>
    <xf numFmtId="0" fontId="45" fillId="60" borderId="19">
      <alignment horizontal="center" vertical="center"/>
    </xf>
    <xf numFmtId="1" fontId="45" fillId="39" borderId="19">
      <alignment horizontal="right" vertical="center"/>
    </xf>
    <xf numFmtId="0" fontId="33" fillId="39" borderId="0"/>
    <xf numFmtId="0" fontId="47" fillId="39" borderId="19">
      <alignment horizontal="left" vertical="center"/>
    </xf>
    <xf numFmtId="0" fontId="47" fillId="39" borderId="19"/>
    <xf numFmtId="0" fontId="46" fillId="39" borderId="19">
      <alignment horizontal="right" vertical="center"/>
    </xf>
    <xf numFmtId="0" fontId="48" fillId="61" borderId="19">
      <alignment horizontal="left" vertical="center"/>
    </xf>
    <xf numFmtId="0" fontId="48" fillId="61" borderId="19">
      <alignment horizontal="left" vertical="center"/>
    </xf>
    <xf numFmtId="0" fontId="49" fillId="39" borderId="19">
      <alignment horizontal="left" vertical="center"/>
    </xf>
    <xf numFmtId="0" fontId="50" fillId="39" borderId="22"/>
    <xf numFmtId="0" fontId="45" fillId="62" borderId="19">
      <alignment horizontal="left" vertical="center"/>
    </xf>
    <xf numFmtId="0" fontId="51" fillId="0" borderId="0" applyProtection="0"/>
    <xf numFmtId="186" fontId="33" fillId="0" borderId="0" applyFont="0" applyFill="0" applyBorder="0" applyAlignment="0" applyProtection="0"/>
    <xf numFmtId="0" fontId="58" fillId="0" borderId="0" applyNumberFormat="0" applyFill="0" applyBorder="0" applyAlignment="0" applyProtection="0"/>
    <xf numFmtId="2" fontId="51" fillId="0" borderId="0" applyProtection="0"/>
    <xf numFmtId="0" fontId="59" fillId="42" borderId="0" applyNumberFormat="0" applyBorder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2" fillId="0" borderId="27" applyNumberFormat="0" applyFill="0" applyAlignment="0" applyProtection="0"/>
    <xf numFmtId="0" fontId="62" fillId="0" borderId="0" applyNumberFormat="0" applyFill="0" applyBorder="0" applyAlignment="0" applyProtection="0"/>
    <xf numFmtId="0" fontId="51" fillId="0" borderId="0" applyNumberFormat="0" applyFont="0" applyFill="0" applyBorder="0" applyAlignment="0" applyProtection="0"/>
    <xf numFmtId="0" fontId="52" fillId="0" borderId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85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65" fillId="45" borderId="23" applyNumberFormat="0" applyAlignment="0" applyProtection="0"/>
    <xf numFmtId="0" fontId="66" fillId="0" borderId="28" applyNumberFormat="0" applyFill="0" applyAlignment="0" applyProtection="0"/>
    <xf numFmtId="0" fontId="67" fillId="63" borderId="0" applyNumberFormat="0" applyBorder="0" applyAlignment="0" applyProtection="0"/>
    <xf numFmtId="0" fontId="53" fillId="0" borderId="0"/>
    <xf numFmtId="0" fontId="32" fillId="0" borderId="0"/>
    <xf numFmtId="0" fontId="8" fillId="0" borderId="0"/>
    <xf numFmtId="0" fontId="32" fillId="0" borderId="0"/>
    <xf numFmtId="0" fontId="32" fillId="0" borderId="0"/>
    <xf numFmtId="0" fontId="32" fillId="64" borderId="29" applyNumberFormat="0" applyFont="0" applyAlignment="0" applyProtection="0"/>
    <xf numFmtId="0" fontId="68" fillId="58" borderId="30" applyNumberFormat="0" applyAlignment="0" applyProtection="0"/>
    <xf numFmtId="192" fontId="44" fillId="0" borderId="0" applyFont="0" applyFill="0" applyBorder="0" applyAlignment="0" applyProtection="0"/>
    <xf numFmtId="193" fontId="44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51" fillId="0" borderId="1" applyProtection="0"/>
    <xf numFmtId="0" fontId="70" fillId="0" borderId="0" applyNumberFormat="0" applyFill="0" applyBorder="0" applyAlignment="0" applyProtection="0"/>
    <xf numFmtId="0" fontId="32" fillId="0" borderId="0"/>
    <xf numFmtId="0" fontId="77" fillId="0" borderId="0">
      <protection locked="0"/>
    </xf>
    <xf numFmtId="0" fontId="77" fillId="0" borderId="0">
      <protection locked="0"/>
    </xf>
    <xf numFmtId="195" fontId="76" fillId="0" borderId="0">
      <protection locked="0"/>
    </xf>
    <xf numFmtId="0" fontId="76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96" fontId="78" fillId="0" borderId="0"/>
    <xf numFmtId="0" fontId="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43" fontId="32" fillId="0" borderId="0" applyFont="0" applyFill="0" applyBorder="0" applyAlignment="0" applyProtection="0"/>
    <xf numFmtId="0" fontId="51" fillId="0" borderId="0" applyProtection="0"/>
    <xf numFmtId="186" fontId="36" fillId="0" borderId="0" applyFont="0" applyFill="0" applyBorder="0" applyAlignment="0" applyProtection="0"/>
    <xf numFmtId="2" fontId="51" fillId="0" borderId="0" applyProtection="0"/>
    <xf numFmtId="0" fontId="51" fillId="0" borderId="0" applyNumberFormat="0" applyFont="0" applyFill="0" applyBorder="0" applyAlignment="0" applyProtection="0"/>
    <xf numFmtId="0" fontId="52" fillId="0" borderId="0" applyProtection="0"/>
    <xf numFmtId="0" fontId="53" fillId="0" borderId="0"/>
    <xf numFmtId="9" fontId="32" fillId="0" borderId="0" applyFont="0" applyFill="0" applyBorder="0" applyAlignment="0" applyProtection="0"/>
    <xf numFmtId="0" fontId="51" fillId="0" borderId="1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3" borderId="0" applyNumberFormat="0" applyBorder="0" applyAlignment="0" applyProtection="0"/>
    <xf numFmtId="0" fontId="43" fillId="46" borderId="0" applyNumberFormat="0" applyBorder="0" applyAlignment="0" applyProtection="0"/>
    <xf numFmtId="0" fontId="43" fillId="49" borderId="0" applyNumberFormat="0" applyBorder="0" applyAlignment="0" applyProtection="0"/>
    <xf numFmtId="0" fontId="54" fillId="50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51" borderId="0" applyNumberFormat="0" applyBorder="0" applyAlignment="0" applyProtection="0"/>
    <xf numFmtId="0" fontId="54" fillId="52" borderId="0" applyNumberFormat="0" applyBorder="0" applyAlignment="0" applyProtection="0"/>
    <xf numFmtId="0" fontId="54" fillId="53" borderId="0" applyNumberFormat="0" applyBorder="0" applyAlignment="0" applyProtection="0"/>
    <xf numFmtId="0" fontId="54" fillId="50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51" borderId="0" applyNumberFormat="0" applyBorder="0" applyAlignment="0" applyProtection="0"/>
    <xf numFmtId="0" fontId="54" fillId="52" borderId="0" applyNumberFormat="0" applyBorder="0" applyAlignment="0" applyProtection="0"/>
    <xf numFmtId="0" fontId="54" fillId="53" borderId="0" applyNumberFormat="0" applyBorder="0" applyAlignment="0" applyProtection="0"/>
    <xf numFmtId="0" fontId="54" fillId="54" borderId="0" applyNumberFormat="0" applyBorder="0" applyAlignment="0" applyProtection="0"/>
    <xf numFmtId="0" fontId="54" fillId="55" borderId="0" applyNumberFormat="0" applyBorder="0" applyAlignment="0" applyProtection="0"/>
    <xf numFmtId="0" fontId="54" fillId="56" borderId="0" applyNumberFormat="0" applyBorder="0" applyAlignment="0" applyProtection="0"/>
    <xf numFmtId="0" fontId="54" fillId="51" borderId="0" applyNumberFormat="0" applyBorder="0" applyAlignment="0" applyProtection="0"/>
    <xf numFmtId="0" fontId="54" fillId="52" borderId="0" applyNumberFormat="0" applyBorder="0" applyAlignment="0" applyProtection="0"/>
    <xf numFmtId="0" fontId="54" fillId="57" borderId="0" applyNumberFormat="0" applyBorder="0" applyAlignment="0" applyProtection="0"/>
    <xf numFmtId="0" fontId="55" fillId="41" borderId="0" applyNumberFormat="0" applyBorder="0" applyAlignment="0" applyProtection="0"/>
    <xf numFmtId="0" fontId="59" fillId="42" borderId="0" applyNumberFormat="0" applyBorder="0" applyAlignment="0" applyProtection="0"/>
    <xf numFmtId="0" fontId="56" fillId="58" borderId="23" applyNumberFormat="0" applyAlignment="0" applyProtection="0"/>
    <xf numFmtId="0" fontId="56" fillId="58" borderId="23" applyNumberFormat="0" applyAlignment="0" applyProtection="0"/>
    <xf numFmtId="0" fontId="57" fillId="59" borderId="24" applyNumberFormat="0" applyAlignment="0" applyProtection="0"/>
    <xf numFmtId="0" fontId="66" fillId="0" borderId="28" applyNumberFormat="0" applyFill="0" applyAlignment="0" applyProtection="0"/>
    <xf numFmtId="0" fontId="57" fillId="59" borderId="24" applyNumberFormat="0" applyAlignment="0" applyProtection="0"/>
    <xf numFmtId="0" fontId="62" fillId="0" borderId="0" applyNumberFormat="0" applyFill="0" applyBorder="0" applyAlignment="0" applyProtection="0"/>
    <xf numFmtId="0" fontId="54" fillId="54" borderId="0" applyNumberFormat="0" applyBorder="0" applyAlignment="0" applyProtection="0"/>
    <xf numFmtId="0" fontId="54" fillId="55" borderId="0" applyNumberFormat="0" applyBorder="0" applyAlignment="0" applyProtection="0"/>
    <xf numFmtId="0" fontId="54" fillId="56" borderId="0" applyNumberFormat="0" applyBorder="0" applyAlignment="0" applyProtection="0"/>
    <xf numFmtId="0" fontId="54" fillId="51" borderId="0" applyNumberFormat="0" applyBorder="0" applyAlignment="0" applyProtection="0"/>
    <xf numFmtId="0" fontId="54" fillId="52" borderId="0" applyNumberFormat="0" applyBorder="0" applyAlignment="0" applyProtection="0"/>
    <xf numFmtId="0" fontId="54" fillId="57" borderId="0" applyNumberFormat="0" applyBorder="0" applyAlignment="0" applyProtection="0"/>
    <xf numFmtId="0" fontId="65" fillId="45" borderId="23" applyNumberFormat="0" applyAlignment="0" applyProtection="0"/>
    <xf numFmtId="0" fontId="58" fillId="0" borderId="0" applyNumberFormat="0" applyFill="0" applyBorder="0" applyAlignment="0" applyProtection="0"/>
    <xf numFmtId="0" fontId="59" fillId="42" borderId="0" applyNumberFormat="0" applyBorder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2" fillId="0" borderId="27" applyNumberFormat="0" applyFill="0" applyAlignment="0" applyProtection="0"/>
    <xf numFmtId="0" fontId="62" fillId="0" borderId="0" applyNumberFormat="0" applyFill="0" applyBorder="0" applyAlignment="0" applyProtection="0"/>
    <xf numFmtId="0" fontId="55" fillId="41" borderId="0" applyNumberFormat="0" applyBorder="0" applyAlignment="0" applyProtection="0"/>
    <xf numFmtId="0" fontId="65" fillId="45" borderId="23" applyNumberFormat="0" applyAlignment="0" applyProtection="0"/>
    <xf numFmtId="0" fontId="66" fillId="0" borderId="28" applyNumberFormat="0" applyFill="0" applyAlignment="0" applyProtection="0"/>
    <xf numFmtId="168" fontId="32" fillId="0" borderId="0" applyFont="0" applyFill="0" applyBorder="0" applyAlignment="0" applyProtection="0"/>
    <xf numFmtId="0" fontId="67" fillId="63" borderId="0" applyNumberFormat="0" applyBorder="0" applyAlignment="0" applyProtection="0"/>
    <xf numFmtId="0" fontId="8" fillId="0" borderId="0"/>
    <xf numFmtId="0" fontId="33" fillId="0" borderId="0"/>
    <xf numFmtId="0" fontId="32" fillId="64" borderId="29" applyNumberFormat="0" applyFont="0" applyAlignment="0" applyProtection="0"/>
    <xf numFmtId="0" fontId="32" fillId="64" borderId="29" applyNumberFormat="0" applyFont="0" applyAlignment="0" applyProtection="0"/>
    <xf numFmtId="0" fontId="68" fillId="58" borderId="30" applyNumberFormat="0" applyAlignment="0" applyProtection="0"/>
    <xf numFmtId="0" fontId="68" fillId="58" borderId="30" applyNumberFormat="0" applyAlignment="0" applyProtection="0"/>
    <xf numFmtId="0" fontId="70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2" fillId="0" borderId="27" applyNumberFormat="0" applyFill="0" applyAlignment="0" applyProtection="0"/>
    <xf numFmtId="0" fontId="70" fillId="0" borderId="0" applyNumberFormat="0" applyFill="0" applyBorder="0" applyAlignment="0" applyProtection="0"/>
    <xf numFmtId="0" fontId="32" fillId="0" borderId="0"/>
    <xf numFmtId="195" fontId="76" fillId="0" borderId="0">
      <protection locked="0"/>
    </xf>
    <xf numFmtId="0" fontId="76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32" fillId="0" borderId="0"/>
    <xf numFmtId="0" fontId="8" fillId="0" borderId="0"/>
    <xf numFmtId="196" fontId="78" fillId="0" borderId="0"/>
    <xf numFmtId="0" fontId="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7" fillId="0" borderId="0">
      <protection locked="0"/>
    </xf>
    <xf numFmtId="0" fontId="77" fillId="0" borderId="0">
      <protection locked="0"/>
    </xf>
    <xf numFmtId="0" fontId="32" fillId="0" borderId="0"/>
    <xf numFmtId="0" fontId="77" fillId="0" borderId="0">
      <protection locked="0"/>
    </xf>
    <xf numFmtId="0" fontId="77" fillId="0" borderId="0">
      <protection locked="0"/>
    </xf>
    <xf numFmtId="0" fontId="8" fillId="0" borderId="0"/>
    <xf numFmtId="0" fontId="8" fillId="0" borderId="0"/>
    <xf numFmtId="0" fontId="32" fillId="0" borderId="0"/>
    <xf numFmtId="0" fontId="8" fillId="0" borderId="0"/>
    <xf numFmtId="0" fontId="53" fillId="0" borderId="0"/>
    <xf numFmtId="0" fontId="52" fillId="0" borderId="0" applyProtection="0"/>
    <xf numFmtId="0" fontId="8" fillId="0" borderId="0"/>
    <xf numFmtId="2" fontId="51" fillId="0" borderId="0" applyProtection="0"/>
    <xf numFmtId="0" fontId="8" fillId="0" borderId="0"/>
    <xf numFmtId="0" fontId="8" fillId="0" borderId="0"/>
    <xf numFmtId="0" fontId="51" fillId="0" borderId="0" applyProtection="0"/>
    <xf numFmtId="0" fontId="51" fillId="0" borderId="0" applyNumberFormat="0" applyFont="0" applyFill="0" applyBorder="0" applyAlignment="0" applyProtection="0"/>
    <xf numFmtId="0" fontId="8" fillId="0" borderId="0"/>
    <xf numFmtId="0" fontId="74" fillId="65" borderId="0" applyNumberFormat="0" applyBorder="0" applyAlignment="0" applyProtection="0"/>
    <xf numFmtId="2" fontId="76" fillId="0" borderId="0">
      <protection locked="0"/>
    </xf>
    <xf numFmtId="2" fontId="80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81" fillId="46" borderId="31" applyNumberFormat="0" applyAlignment="0" applyProtection="0"/>
    <xf numFmtId="0" fontId="82" fillId="0" borderId="0" applyNumberFormat="0" applyFill="0" applyBorder="0" applyAlignment="0" applyProtection="0"/>
    <xf numFmtId="214" fontId="33" fillId="0" borderId="0"/>
    <xf numFmtId="0" fontId="47" fillId="39" borderId="32">
      <alignment vertical="center"/>
    </xf>
    <xf numFmtId="0" fontId="83" fillId="39" borderId="33">
      <alignment vertical="center"/>
    </xf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2" fontId="76" fillId="0" borderId="0">
      <protection locked="0"/>
    </xf>
    <xf numFmtId="198" fontId="84" fillId="0" borderId="0"/>
    <xf numFmtId="0" fontId="75" fillId="66" borderId="0" applyNumberFormat="0" applyBorder="0" applyAlignment="0" applyProtection="0"/>
    <xf numFmtId="0" fontId="75" fillId="67" borderId="0" applyNumberFormat="0" applyBorder="0" applyAlignment="0" applyProtection="0"/>
    <xf numFmtId="0" fontId="75" fillId="67" borderId="0" applyNumberFormat="0" applyBorder="0" applyAlignment="0" applyProtection="0"/>
    <xf numFmtId="197" fontId="85" fillId="0" borderId="0"/>
    <xf numFmtId="185" fontId="33" fillId="0" borderId="0" applyFont="0" applyFill="0" applyBorder="0" applyAlignment="0" applyProtection="0"/>
    <xf numFmtId="185" fontId="33" fillId="0" borderId="0" applyFont="0" applyFill="0" applyBorder="0" applyAlignment="0" applyProtection="0"/>
    <xf numFmtId="185" fontId="33" fillId="0" borderId="0" applyFont="0" applyFill="0" applyBorder="0" applyAlignment="0" applyProtection="0"/>
    <xf numFmtId="185" fontId="33" fillId="0" borderId="0" applyFont="0" applyFill="0" applyBorder="0" applyAlignment="0" applyProtection="0"/>
    <xf numFmtId="185" fontId="33" fillId="0" borderId="0" applyFont="0" applyFill="0" applyBorder="0" applyAlignment="0" applyProtection="0"/>
    <xf numFmtId="185" fontId="33" fillId="0" borderId="0" applyFont="0" applyFill="0" applyBorder="0" applyAlignment="0" applyProtection="0"/>
    <xf numFmtId="185" fontId="33" fillId="0" borderId="0" applyFont="0" applyFill="0" applyBorder="0" applyAlignment="0" applyProtection="0"/>
    <xf numFmtId="0" fontId="86" fillId="0" borderId="0"/>
    <xf numFmtId="0" fontId="76" fillId="0" borderId="0">
      <protection locked="0"/>
    </xf>
    <xf numFmtId="205" fontId="76" fillId="0" borderId="0">
      <protection locked="0"/>
    </xf>
    <xf numFmtId="205" fontId="76" fillId="0" borderId="0">
      <protection locked="0"/>
    </xf>
    <xf numFmtId="0" fontId="87" fillId="68" borderId="0" applyNumberFormat="0" applyBorder="0" applyAlignment="0" applyProtection="0"/>
    <xf numFmtId="37" fontId="32" fillId="0" borderId="0" applyNumberFormat="0" applyFont="0" applyFill="0"/>
    <xf numFmtId="38" fontId="36" fillId="60" borderId="0" applyNumberFormat="0" applyBorder="0" applyAlignment="0" applyProtection="0"/>
    <xf numFmtId="0" fontId="88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9" fillId="0" borderId="34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2" fillId="44" borderId="35" applyNumberFormat="0" applyAlignment="0" applyProtection="0"/>
    <xf numFmtId="10" fontId="36" fillId="39" borderId="19" applyNumberFormat="0" applyBorder="0" applyAlignment="0" applyProtection="0"/>
    <xf numFmtId="15" fontId="33" fillId="0" borderId="0"/>
    <xf numFmtId="0" fontId="32" fillId="69" borderId="36" applyNumberFormat="0" applyFont="0" applyAlignment="0" applyProtection="0"/>
    <xf numFmtId="1" fontId="32" fillId="0" borderId="0" applyNumberFormat="0" applyAlignment="0">
      <alignment horizontal="center"/>
    </xf>
    <xf numFmtId="202" fontId="93" fillId="0" borderId="0" applyNumberFormat="0">
      <alignment horizontal="centerContinuous"/>
    </xf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208" fontId="86" fillId="0" borderId="0" applyFont="0" applyFill="0" applyBorder="0" applyAlignment="0" applyProtection="0"/>
    <xf numFmtId="209" fontId="86" fillId="0" borderId="0" applyFont="0" applyFill="0" applyBorder="0" applyAlignment="0" applyProtection="0"/>
    <xf numFmtId="207" fontId="76" fillId="0" borderId="0">
      <protection locked="0"/>
    </xf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211" fontId="76" fillId="0" borderId="0">
      <protection locked="0"/>
    </xf>
    <xf numFmtId="212" fontId="76" fillId="0" borderId="0">
      <protection locked="0"/>
    </xf>
    <xf numFmtId="0" fontId="94" fillId="70" borderId="0" applyNumberFormat="0" applyBorder="0" applyAlignment="0" applyProtection="0"/>
    <xf numFmtId="0" fontId="37" fillId="0" borderId="0"/>
    <xf numFmtId="0" fontId="95" fillId="0" borderId="0"/>
    <xf numFmtId="0" fontId="85" fillId="0" borderId="0"/>
    <xf numFmtId="0" fontId="85" fillId="0" borderId="0"/>
    <xf numFmtId="0" fontId="8" fillId="0" borderId="0"/>
    <xf numFmtId="0" fontId="8" fillId="0" borderId="0"/>
    <xf numFmtId="201" fontId="32" fillId="0" borderId="0" applyFill="0" applyBorder="0" applyAlignment="0" applyProtection="0">
      <alignment horizontal="right"/>
    </xf>
    <xf numFmtId="0" fontId="32" fillId="70" borderId="29" applyNumberFormat="0" applyFont="0" applyAlignment="0" applyProtection="0"/>
    <xf numFmtId="0" fontId="96" fillId="71" borderId="37" applyNumberFormat="0" applyAlignment="0" applyProtection="0"/>
    <xf numFmtId="10" fontId="33" fillId="0" borderId="0" applyFont="0" applyFill="0" applyBorder="0" applyAlignment="0" applyProtection="0"/>
    <xf numFmtId="200" fontId="53" fillId="0" borderId="0" applyFont="0" applyFill="0" applyBorder="0" applyAlignment="0" applyProtection="0"/>
    <xf numFmtId="204" fontId="76" fillId="0" borderId="0">
      <protection locked="0"/>
    </xf>
    <xf numFmtId="203" fontId="76" fillId="0" borderId="0">
      <protection locked="0"/>
    </xf>
    <xf numFmtId="194" fontId="33" fillId="0" borderId="0" applyFont="0" applyFill="0" applyBorder="0" applyAlignment="0" applyProtection="0"/>
    <xf numFmtId="204" fontId="76" fillId="0" borderId="0">
      <protection locked="0"/>
    </xf>
    <xf numFmtId="213" fontId="32" fillId="0" borderId="0" applyFill="0" applyBorder="0" applyAlignment="0">
      <alignment horizontal="centerContinuous"/>
    </xf>
    <xf numFmtId="0" fontId="44" fillId="0" borderId="0"/>
    <xf numFmtId="203" fontId="76" fillId="0" borderId="0">
      <protection locked="0"/>
    </xf>
    <xf numFmtId="206" fontId="76" fillId="0" borderId="0">
      <protection locked="0"/>
    </xf>
    <xf numFmtId="4" fontId="97" fillId="72" borderId="38" applyNumberFormat="0" applyProtection="0">
      <alignment vertical="center"/>
    </xf>
    <xf numFmtId="4" fontId="98" fillId="72" borderId="38" applyNumberFormat="0" applyProtection="0">
      <alignment vertical="center"/>
    </xf>
    <xf numFmtId="4" fontId="99" fillId="0" borderId="0" applyNumberFormat="0" applyProtection="0">
      <alignment horizontal="left" vertical="center" indent="1"/>
    </xf>
    <xf numFmtId="4" fontId="100" fillId="73" borderId="38" applyNumberFormat="0" applyProtection="0">
      <alignment horizontal="left" vertical="center" indent="1"/>
    </xf>
    <xf numFmtId="4" fontId="101" fillId="74" borderId="38" applyNumberFormat="0" applyProtection="0">
      <alignment vertical="center"/>
    </xf>
    <xf numFmtId="4" fontId="71" fillId="75" borderId="38" applyNumberFormat="0" applyProtection="0">
      <alignment vertical="center"/>
    </xf>
    <xf numFmtId="4" fontId="101" fillId="76" borderId="38" applyNumberFormat="0" applyProtection="0">
      <alignment vertical="center"/>
    </xf>
    <xf numFmtId="4" fontId="102" fillId="74" borderId="38" applyNumberFormat="0" applyProtection="0">
      <alignment vertical="center"/>
    </xf>
    <xf numFmtId="4" fontId="103" fillId="77" borderId="38" applyNumberFormat="0" applyProtection="0">
      <alignment horizontal="left" vertical="center" indent="1"/>
    </xf>
    <xf numFmtId="4" fontId="103" fillId="38" borderId="38" applyNumberFormat="0" applyProtection="0">
      <alignment horizontal="left" vertical="center" indent="1"/>
    </xf>
    <xf numFmtId="4" fontId="104" fillId="73" borderId="38" applyNumberFormat="0" applyProtection="0">
      <alignment horizontal="left" vertical="center" indent="1"/>
    </xf>
    <xf numFmtId="4" fontId="105" fillId="78" borderId="38" applyNumberFormat="0" applyProtection="0">
      <alignment vertical="center"/>
    </xf>
    <xf numFmtId="4" fontId="106" fillId="39" borderId="38" applyNumberFormat="0" applyProtection="0">
      <alignment horizontal="left" vertical="center" indent="1"/>
    </xf>
    <xf numFmtId="4" fontId="107" fillId="38" borderId="38" applyNumberFormat="0" applyProtection="0">
      <alignment horizontal="left" vertical="center" indent="1"/>
    </xf>
    <xf numFmtId="4" fontId="108" fillId="73" borderId="38" applyNumberFormat="0" applyProtection="0">
      <alignment horizontal="left" vertical="center" indent="1"/>
    </xf>
    <xf numFmtId="4" fontId="109" fillId="39" borderId="38" applyNumberFormat="0" applyProtection="0">
      <alignment vertical="center"/>
    </xf>
    <xf numFmtId="4" fontId="110" fillId="39" borderId="38" applyNumberFormat="0" applyProtection="0">
      <alignment vertical="center"/>
    </xf>
    <xf numFmtId="4" fontId="103" fillId="38" borderId="38" applyNumberFormat="0" applyProtection="0">
      <alignment horizontal="left" vertical="center" indent="1"/>
    </xf>
    <xf numFmtId="4" fontId="111" fillId="39" borderId="38" applyNumberFormat="0" applyProtection="0">
      <alignment vertical="center"/>
    </xf>
    <xf numFmtId="4" fontId="112" fillId="39" borderId="38" applyNumberFormat="0" applyProtection="0">
      <alignment vertical="center"/>
    </xf>
    <xf numFmtId="4" fontId="36" fillId="0" borderId="0" applyNumberFormat="0" applyProtection="0">
      <alignment horizontal="left" vertical="center" indent="1"/>
    </xf>
    <xf numFmtId="4" fontId="113" fillId="39" borderId="38" applyNumberFormat="0" applyProtection="0">
      <alignment vertical="center"/>
    </xf>
    <xf numFmtId="4" fontId="114" fillId="39" borderId="38" applyNumberFormat="0" applyProtection="0">
      <alignment vertical="center"/>
    </xf>
    <xf numFmtId="4" fontId="103" fillId="62" borderId="38" applyNumberFormat="0" applyProtection="0">
      <alignment horizontal="left" vertical="center" indent="1"/>
    </xf>
    <xf numFmtId="4" fontId="115" fillId="78" borderId="38" applyNumberFormat="0" applyProtection="0">
      <alignment horizontal="left" indent="1"/>
    </xf>
    <xf numFmtId="4" fontId="116" fillId="39" borderId="38" applyNumberFormat="0" applyProtection="0">
      <alignment vertical="center"/>
    </xf>
    <xf numFmtId="38" fontId="86" fillId="0" borderId="21"/>
    <xf numFmtId="199" fontId="33" fillId="0" borderId="0">
      <protection locked="0"/>
    </xf>
    <xf numFmtId="38" fontId="86" fillId="0" borderId="0" applyFont="0" applyFill="0" applyBorder="0" applyAlignment="0" applyProtection="0"/>
    <xf numFmtId="40" fontId="86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33" fillId="0" borderId="0" applyNumberFormat="0"/>
    <xf numFmtId="2" fontId="77" fillId="0" borderId="0">
      <protection locked="0"/>
    </xf>
    <xf numFmtId="2" fontId="77" fillId="0" borderId="0">
      <protection locked="0"/>
    </xf>
    <xf numFmtId="203" fontId="76" fillId="0" borderId="0">
      <protection locked="0"/>
    </xf>
    <xf numFmtId="206" fontId="76" fillId="0" borderId="0">
      <protection locked="0"/>
    </xf>
    <xf numFmtId="0" fontId="86" fillId="0" borderId="0"/>
    <xf numFmtId="4" fontId="33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ont="0" applyFill="0" applyBorder="0" applyAlignment="0" applyProtection="0">
      <alignment vertical="top"/>
    </xf>
    <xf numFmtId="0" fontId="79" fillId="0" borderId="0" applyNumberFormat="0" applyFont="0" applyFill="0" applyBorder="0" applyAlignment="0" applyProtection="0">
      <alignment vertical="top"/>
    </xf>
    <xf numFmtId="0" fontId="79" fillId="0" borderId="0" applyNumberFormat="0" applyFont="0" applyFill="0" applyBorder="0" applyAlignment="0" applyProtection="0">
      <alignment vertical="top"/>
    </xf>
    <xf numFmtId="0" fontId="73" fillId="0" borderId="0" applyNumberFormat="0" applyFont="0" applyFill="0" applyBorder="0" applyAlignment="0" applyProtection="0"/>
    <xf numFmtId="0" fontId="73" fillId="0" borderId="0" applyNumberFormat="0" applyFont="0" applyFill="0" applyBorder="0" applyAlignment="0" applyProtection="0">
      <alignment horizontal="left" vertical="top"/>
    </xf>
    <xf numFmtId="0" fontId="73" fillId="0" borderId="0" applyNumberFormat="0" applyFont="0" applyFill="0" applyBorder="0" applyAlignment="0" applyProtection="0">
      <alignment horizontal="left" vertical="top"/>
    </xf>
    <xf numFmtId="0" fontId="73" fillId="0" borderId="0" applyNumberFormat="0" applyFont="0" applyFill="0" applyBorder="0" applyAlignment="0" applyProtection="0">
      <alignment horizontal="left" vertical="top"/>
    </xf>
    <xf numFmtId="0" fontId="32" fillId="0" borderId="0"/>
    <xf numFmtId="0" fontId="118" fillId="0" borderId="0">
      <alignment horizontal="left" wrapText="1"/>
    </xf>
    <xf numFmtId="0" fontId="119" fillId="0" borderId="7" applyNumberFormat="0" applyFont="0" applyFill="0" applyBorder="0" applyAlignment="0" applyProtection="0">
      <alignment horizontal="center" wrapText="1"/>
    </xf>
    <xf numFmtId="215" fontId="44" fillId="0" borderId="0" applyNumberFormat="0" applyFont="0" applyFill="0" applyBorder="0" applyAlignment="0" applyProtection="0">
      <alignment horizontal="right"/>
    </xf>
    <xf numFmtId="0" fontId="119" fillId="0" borderId="0" applyNumberFormat="0" applyFont="0" applyFill="0" applyBorder="0" applyAlignment="0" applyProtection="0">
      <alignment horizontal="left" indent="1"/>
    </xf>
    <xf numFmtId="216" fontId="119" fillId="0" borderId="0" applyNumberFormat="0" applyFont="0" applyFill="0" applyBorder="0" applyAlignment="0" applyProtection="0"/>
    <xf numFmtId="0" fontId="32" fillId="0" borderId="7" applyNumberFormat="0" applyFont="0" applyFill="0" applyAlignment="0" applyProtection="0">
      <alignment horizontal="center"/>
    </xf>
    <xf numFmtId="0" fontId="32" fillId="0" borderId="0" applyNumberFormat="0" applyFont="0" applyFill="0" applyBorder="0" applyAlignment="0" applyProtection="0">
      <alignment horizontal="left" wrapText="1" indent="1"/>
    </xf>
    <xf numFmtId="0" fontId="119" fillId="0" borderId="0" applyNumberFormat="0" applyFont="0" applyFill="0" applyBorder="0" applyAlignment="0" applyProtection="0">
      <alignment horizontal="left" indent="1"/>
    </xf>
    <xf numFmtId="0" fontId="32" fillId="0" borderId="0" applyNumberFormat="0" applyFont="0" applyFill="0" applyBorder="0" applyAlignment="0" applyProtection="0">
      <alignment horizontal="left" wrapText="1" indent="2"/>
    </xf>
    <xf numFmtId="217" fontId="32" fillId="0" borderId="0">
      <alignment horizontal="right"/>
    </xf>
    <xf numFmtId="0" fontId="120" fillId="0" borderId="0" applyProtection="0"/>
    <xf numFmtId="210" fontId="120" fillId="0" borderId="0" applyProtection="0"/>
    <xf numFmtId="0" fontId="121" fillId="0" borderId="0" applyProtection="0"/>
    <xf numFmtId="0" fontId="122" fillId="0" borderId="0" applyProtection="0"/>
    <xf numFmtId="0" fontId="120" fillId="0" borderId="1" applyProtection="0"/>
    <xf numFmtId="10" fontId="120" fillId="0" borderId="0" applyProtection="0"/>
    <xf numFmtId="0" fontId="120" fillId="0" borderId="0"/>
    <xf numFmtId="2" fontId="120" fillId="0" borderId="0" applyProtection="0"/>
    <xf numFmtId="4" fontId="120" fillId="0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65" fillId="45" borderId="23" applyNumberFormat="0" applyAlignment="0" applyProtection="0"/>
    <xf numFmtId="0" fontId="65" fillId="45" borderId="23" applyNumberFormat="0" applyAlignment="0" applyProtection="0"/>
    <xf numFmtId="0" fontId="65" fillId="45" borderId="23" applyNumberFormat="0" applyAlignment="0" applyProtection="0"/>
    <xf numFmtId="0" fontId="32" fillId="0" borderId="0"/>
    <xf numFmtId="0" fontId="3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3" fillId="0" borderId="0"/>
    <xf numFmtId="0" fontId="33" fillId="0" borderId="0"/>
    <xf numFmtId="170" fontId="33" fillId="0" borderId="0" applyNumberFormat="0" applyFill="0" applyBorder="0" applyAlignment="0"/>
    <xf numFmtId="43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8" fontId="32" fillId="0" borderId="0" applyFont="0" applyFill="0" applyBorder="0" applyAlignment="0" applyProtection="0">
      <protection locked="0"/>
    </xf>
    <xf numFmtId="177" fontId="33" fillId="0" borderId="0" applyFont="0" applyFill="0" applyBorder="0" applyAlignment="0"/>
    <xf numFmtId="0" fontId="123" fillId="0" borderId="0" applyNumberFormat="0" applyFill="0" applyBorder="0" applyAlignment="0" applyProtection="0">
      <alignment vertical="top"/>
      <protection locked="0"/>
    </xf>
    <xf numFmtId="178" fontId="32" fillId="0" borderId="0" applyFill="0" applyBorder="0" applyAlignment="0">
      <protection locked="0"/>
    </xf>
    <xf numFmtId="177" fontId="33" fillId="0" borderId="0" applyFill="0" applyBorder="0" applyAlignment="0" applyProtection="0">
      <protection locked="0"/>
    </xf>
    <xf numFmtId="172" fontId="33" fillId="0" borderId="0" applyFont="0" applyFill="0" applyBorder="0" applyAlignment="0" applyProtection="0"/>
    <xf numFmtId="170" fontId="33" fillId="0" borderId="0" applyFill="0" applyBorder="0" applyAlignment="0"/>
    <xf numFmtId="174" fontId="33" fillId="0" borderId="8" applyFont="0" applyFill="0" applyBorder="0" applyAlignment="0" applyProtection="0">
      <alignment horizontal="right"/>
    </xf>
    <xf numFmtId="173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3" fontId="33" fillId="0" borderId="0" applyFill="0" applyBorder="0" applyAlignment="0" applyProtection="0"/>
    <xf numFmtId="0" fontId="33" fillId="0" borderId="0"/>
    <xf numFmtId="183" fontId="32" fillId="0" borderId="0" applyFont="0" applyFill="0" applyBorder="0" applyAlignment="0" applyProtection="0">
      <alignment horizontal="left"/>
    </xf>
    <xf numFmtId="0" fontId="33" fillId="0" borderId="0"/>
    <xf numFmtId="176" fontId="33" fillId="0" borderId="20" applyFont="0" applyFill="0" applyBorder="0" applyAlignment="0" applyProtection="0"/>
    <xf numFmtId="0" fontId="8" fillId="0" borderId="0"/>
    <xf numFmtId="184" fontId="33" fillId="0" borderId="0" applyFont="0" applyFill="0" applyBorder="0" applyAlignment="0" applyProtection="0"/>
    <xf numFmtId="37" fontId="39" fillId="0" borderId="0" applyFill="0" applyBorder="0" applyAlignment="0">
      <protection locked="0"/>
    </xf>
    <xf numFmtId="184" fontId="43" fillId="0" borderId="0" applyFont="0" applyFill="0" applyBorder="0" applyAlignment="0" applyProtection="0"/>
    <xf numFmtId="0" fontId="33" fillId="0" borderId="0"/>
    <xf numFmtId="0" fontId="33" fillId="0" borderId="0"/>
    <xf numFmtId="184" fontId="8" fillId="0" borderId="0" applyFont="0" applyFill="0" applyBorder="0" applyAlignment="0" applyProtection="0"/>
    <xf numFmtId="37" fontId="39" fillId="0" borderId="0" applyFill="0" applyBorder="0" applyAlignment="0">
      <protection locked="0"/>
    </xf>
    <xf numFmtId="37" fontId="39" fillId="0" borderId="0" applyFill="0" applyBorder="0" applyAlignment="0">
      <protection locked="0"/>
    </xf>
    <xf numFmtId="37" fontId="39" fillId="0" borderId="0" applyFill="0" applyBorder="0" applyAlignment="0">
      <protection locked="0"/>
    </xf>
    <xf numFmtId="0" fontId="33" fillId="0" borderId="0"/>
    <xf numFmtId="0" fontId="33" fillId="0" borderId="0"/>
    <xf numFmtId="0" fontId="33" fillId="0" borderId="0"/>
    <xf numFmtId="0" fontId="33" fillId="0" borderId="0"/>
    <xf numFmtId="0" fontId="8" fillId="0" borderId="0"/>
    <xf numFmtId="0" fontId="33" fillId="0" borderId="0"/>
    <xf numFmtId="9" fontId="3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3" fillId="0" borderId="0" applyFont="0" applyFill="0" applyBorder="0" applyAlignment="0" applyProtection="0"/>
  </cellStyleXfs>
  <cellXfs count="503">
    <xf numFmtId="0" fontId="0" fillId="0" borderId="0" xfId="0"/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  <xf numFmtId="3" fontId="1" fillId="2" borderId="0" xfId="0" applyNumberFormat="1" applyFont="1" applyFill="1" applyAlignment="1">
      <alignment horizontal="righ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/>
    <xf numFmtId="0" fontId="2" fillId="5" borderId="4" xfId="0" applyFont="1" applyFill="1" applyBorder="1" applyAlignment="1">
      <alignment vertical="center"/>
    </xf>
    <xf numFmtId="167" fontId="3" fillId="0" borderId="0" xfId="1" applyNumberFormat="1" applyFont="1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9" fillId="0" borderId="0" xfId="0" applyFont="1"/>
    <xf numFmtId="0" fontId="12" fillId="0" borderId="0" xfId="2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" fillId="2" borderId="4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left" vertical="center"/>
    </xf>
    <xf numFmtId="0" fontId="3" fillId="0" borderId="0" xfId="0" applyFont="1"/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4" fillId="0" borderId="0" xfId="0" applyFont="1"/>
    <xf numFmtId="0" fontId="15" fillId="0" borderId="0" xfId="0" applyFont="1"/>
    <xf numFmtId="0" fontId="11" fillId="0" borderId="0" xfId="0" applyFont="1" applyAlignment="1">
      <alignment vertical="center"/>
    </xf>
    <xf numFmtId="0" fontId="1" fillId="3" borderId="3" xfId="0" applyFont="1" applyFill="1" applyBorder="1" applyAlignment="1">
      <alignment vertical="center"/>
    </xf>
    <xf numFmtId="0" fontId="4" fillId="0" borderId="0" xfId="0" applyFont="1"/>
    <xf numFmtId="2" fontId="10" fillId="0" borderId="0" xfId="0" applyNumberFormat="1" applyFont="1" applyAlignment="1">
      <alignment horizontal="left"/>
    </xf>
    <xf numFmtId="0" fontId="1" fillId="0" borderId="4" xfId="0" applyFont="1" applyBorder="1" applyAlignment="1">
      <alignment vertical="center" wrapText="1"/>
    </xf>
    <xf numFmtId="167" fontId="1" fillId="2" borderId="5" xfId="1" applyNumberFormat="1" applyFont="1" applyFill="1" applyBorder="1" applyAlignment="1">
      <alignment vertical="center" wrapText="1"/>
    </xf>
    <xf numFmtId="167" fontId="3" fillId="0" borderId="0" xfId="1" applyNumberFormat="1" applyFont="1" applyBorder="1" applyAlignment="1"/>
    <xf numFmtId="167" fontId="3" fillId="0" borderId="5" xfId="1" applyNumberFormat="1" applyFont="1" applyBorder="1" applyAlignment="1"/>
    <xf numFmtId="167" fontId="1" fillId="2" borderId="0" xfId="1" applyNumberFormat="1" applyFont="1" applyFill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top" wrapText="1"/>
    </xf>
    <xf numFmtId="0" fontId="4" fillId="2" borderId="5" xfId="0" applyFont="1" applyFill="1" applyBorder="1" applyAlignment="1">
      <alignment vertical="top"/>
    </xf>
    <xf numFmtId="167" fontId="2" fillId="0" borderId="0" xfId="1" applyNumberFormat="1" applyFont="1" applyBorder="1" applyAlignment="1">
      <alignment horizontal="right" vertical="center" wrapText="1"/>
    </xf>
    <xf numFmtId="0" fontId="124" fillId="0" borderId="0" xfId="0" applyFont="1" applyAlignment="1">
      <alignment vertical="center"/>
    </xf>
    <xf numFmtId="0" fontId="125" fillId="0" borderId="0" xfId="0" applyFont="1" applyAlignment="1">
      <alignment horizontal="justify" vertical="center"/>
    </xf>
    <xf numFmtId="0" fontId="125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5" fillId="0" borderId="0" xfId="0" applyFont="1" applyAlignment="1">
      <alignment vertical="center" wrapText="1"/>
    </xf>
    <xf numFmtId="167" fontId="7" fillId="2" borderId="0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167" fontId="6" fillId="0" borderId="0" xfId="1" applyNumberFormat="1" applyFont="1" applyFill="1" applyBorder="1" applyAlignment="1">
      <alignment horizontal="right" vertical="center" wrapText="1"/>
    </xf>
    <xf numFmtId="0" fontId="126" fillId="0" borderId="0" xfId="0" applyFont="1" applyAlignment="1">
      <alignment horizontal="left"/>
    </xf>
    <xf numFmtId="0" fontId="126" fillId="0" borderId="0" xfId="0" applyFont="1"/>
    <xf numFmtId="0" fontId="127" fillId="0" borderId="0" xfId="0" applyFont="1"/>
    <xf numFmtId="0" fontId="127" fillId="0" borderId="0" xfId="0" applyFont="1" applyAlignment="1">
      <alignment horizontal="left"/>
    </xf>
    <xf numFmtId="198" fontId="126" fillId="0" borderId="0" xfId="0" applyNumberFormat="1" applyFont="1" applyAlignment="1">
      <alignment horizontal="left"/>
    </xf>
    <xf numFmtId="2" fontId="127" fillId="0" borderId="0" xfId="0" applyNumberFormat="1" applyFont="1" applyAlignment="1">
      <alignment horizontal="left"/>
    </xf>
    <xf numFmtId="0" fontId="1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67" fontId="3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167" fontId="10" fillId="0" borderId="0" xfId="0" applyNumberFormat="1" applyFont="1"/>
    <xf numFmtId="0" fontId="1" fillId="3" borderId="40" xfId="0" applyFont="1" applyFill="1" applyBorder="1" applyAlignment="1">
      <alignment horizontal="left" vertical="center"/>
    </xf>
    <xf numFmtId="0" fontId="1" fillId="3" borderId="41" xfId="0" applyFont="1" applyFill="1" applyBorder="1" applyAlignment="1">
      <alignment horizontal="right" vertical="center" wrapText="1"/>
    </xf>
    <xf numFmtId="0" fontId="1" fillId="3" borderId="41" xfId="0" applyFont="1" applyFill="1" applyBorder="1" applyAlignment="1">
      <alignment vertical="center" wrapText="1"/>
    </xf>
    <xf numFmtId="0" fontId="1" fillId="3" borderId="42" xfId="0" applyFont="1" applyFill="1" applyBorder="1" applyAlignment="1">
      <alignment vertical="center" wrapText="1"/>
    </xf>
    <xf numFmtId="0" fontId="1" fillId="3" borderId="43" xfId="0" applyFont="1" applyFill="1" applyBorder="1" applyAlignment="1">
      <alignment horizontal="left" vertical="center"/>
    </xf>
    <xf numFmtId="0" fontId="1" fillId="3" borderId="43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1" fillId="2" borderId="43" xfId="0" applyFont="1" applyFill="1" applyBorder="1" applyAlignment="1">
      <alignment vertical="center"/>
    </xf>
    <xf numFmtId="0" fontId="2" fillId="0" borderId="43" xfId="0" applyFont="1" applyBorder="1" applyAlignment="1">
      <alignment vertical="center" wrapText="1"/>
    </xf>
    <xf numFmtId="0" fontId="2" fillId="0" borderId="45" xfId="0" applyFont="1" applyBorder="1" applyAlignment="1">
      <alignment vertical="center"/>
    </xf>
    <xf numFmtId="0" fontId="1" fillId="3" borderId="40" xfId="0" applyFont="1" applyFill="1" applyBorder="1" applyAlignment="1">
      <alignment vertical="center"/>
    </xf>
    <xf numFmtId="0" fontId="1" fillId="3" borderId="41" xfId="0" applyFont="1" applyFill="1" applyBorder="1" applyAlignment="1">
      <alignment horizontal="right" vertical="center"/>
    </xf>
    <xf numFmtId="0" fontId="1" fillId="3" borderId="42" xfId="0" applyFont="1" applyFill="1" applyBorder="1" applyAlignment="1">
      <alignment horizontal="right" vertical="center"/>
    </xf>
    <xf numFmtId="0" fontId="1" fillId="3" borderId="42" xfId="0" applyFont="1" applyFill="1" applyBorder="1" applyAlignment="1">
      <alignment horizontal="right" vertical="center" wrapText="1"/>
    </xf>
    <xf numFmtId="0" fontId="2" fillId="5" borderId="43" xfId="0" applyFont="1" applyFill="1" applyBorder="1" applyAlignment="1">
      <alignment vertical="center"/>
    </xf>
    <xf numFmtId="167" fontId="6" fillId="0" borderId="0" xfId="0" applyNumberFormat="1" applyFont="1" applyAlignment="1">
      <alignment horizontal="right"/>
    </xf>
    <xf numFmtId="0" fontId="16" fillId="3" borderId="40" xfId="0" applyFont="1" applyFill="1" applyBorder="1" applyAlignment="1">
      <alignment vertical="center"/>
    </xf>
    <xf numFmtId="0" fontId="16" fillId="3" borderId="41" xfId="0" applyFont="1" applyFill="1" applyBorder="1" applyAlignment="1">
      <alignment horizontal="right" vertical="center"/>
    </xf>
    <xf numFmtId="0" fontId="16" fillId="3" borderId="41" xfId="0" applyFont="1" applyFill="1" applyBorder="1" applyAlignment="1">
      <alignment horizontal="right" vertical="center" wrapText="1"/>
    </xf>
    <xf numFmtId="0" fontId="16" fillId="3" borderId="42" xfId="0" applyFont="1" applyFill="1" applyBorder="1" applyAlignment="1">
      <alignment horizontal="right" vertical="center" wrapText="1"/>
    </xf>
    <xf numFmtId="0" fontId="16" fillId="5" borderId="43" xfId="0" applyFont="1" applyFill="1" applyBorder="1" applyAlignment="1">
      <alignment vertical="center"/>
    </xf>
    <xf numFmtId="0" fontId="17" fillId="5" borderId="43" xfId="0" applyFont="1" applyFill="1" applyBorder="1" applyAlignment="1">
      <alignment vertical="center"/>
    </xf>
    <xf numFmtId="0" fontId="1" fillId="2" borderId="45" xfId="0" applyFont="1" applyFill="1" applyBorder="1" applyAlignment="1">
      <alignment vertical="center"/>
    </xf>
    <xf numFmtId="0" fontId="7" fillId="3" borderId="40" xfId="0" applyFont="1" applyFill="1" applyBorder="1" applyAlignment="1">
      <alignment vertical="center"/>
    </xf>
    <xf numFmtId="0" fontId="1" fillId="3" borderId="41" xfId="0" applyFont="1" applyFill="1" applyBorder="1" applyAlignment="1">
      <alignment vertical="center"/>
    </xf>
    <xf numFmtId="0" fontId="2" fillId="5" borderId="43" xfId="0" applyFont="1" applyFill="1" applyBorder="1" applyAlignment="1">
      <alignment vertical="center" wrapText="1"/>
    </xf>
    <xf numFmtId="0" fontId="1" fillId="2" borderId="43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vertical="center" wrapText="1"/>
    </xf>
    <xf numFmtId="167" fontId="3" fillId="0" borderId="0" xfId="0" applyNumberFormat="1" applyFont="1" applyAlignment="1">
      <alignment horizontal="left"/>
    </xf>
    <xf numFmtId="0" fontId="132" fillId="0" borderId="0" xfId="0" applyFont="1" applyAlignment="1">
      <alignment horizontal="left"/>
    </xf>
    <xf numFmtId="167" fontId="3" fillId="0" borderId="0" xfId="1" applyNumberFormat="1" applyFont="1" applyFill="1" applyBorder="1" applyAlignment="1"/>
    <xf numFmtId="0" fontId="17" fillId="6" borderId="43" xfId="0" applyFont="1" applyFill="1" applyBorder="1" applyAlignment="1">
      <alignment vertical="center"/>
    </xf>
    <xf numFmtId="0" fontId="7" fillId="3" borderId="40" xfId="0" applyFont="1" applyFill="1" applyBorder="1" applyAlignment="1">
      <alignment horizontal="left" vertical="center"/>
    </xf>
    <xf numFmtId="0" fontId="7" fillId="3" borderId="41" xfId="0" applyFont="1" applyFill="1" applyBorder="1" applyAlignment="1">
      <alignment vertical="center" wrapText="1"/>
    </xf>
    <xf numFmtId="0" fontId="7" fillId="3" borderId="42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27" fillId="0" borderId="0" xfId="2" applyFont="1"/>
    <xf numFmtId="0" fontId="127" fillId="0" borderId="0" xfId="2" applyFont="1" applyAlignment="1">
      <alignment horizontal="left"/>
    </xf>
    <xf numFmtId="0" fontId="127" fillId="0" borderId="0" xfId="2" applyFont="1" applyBorder="1" applyAlignment="1">
      <alignment horizontal="left"/>
    </xf>
    <xf numFmtId="0" fontId="134" fillId="0" borderId="0" xfId="2" applyFont="1" applyAlignment="1">
      <alignment horizontal="right"/>
    </xf>
    <xf numFmtId="0" fontId="134" fillId="0" borderId="0" xfId="2" applyFont="1" applyAlignment="1">
      <alignment horizontal="left"/>
    </xf>
    <xf numFmtId="0" fontId="134" fillId="0" borderId="0" xfId="2" applyFont="1"/>
    <xf numFmtId="167" fontId="7" fillId="2" borderId="5" xfId="1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top" wrapTex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Protection="1"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1" fillId="0" borderId="43" xfId="0" applyFont="1" applyBorder="1" applyAlignment="1" applyProtection="1">
      <alignment horizontal="left" vertical="center"/>
      <protection locked="0"/>
    </xf>
    <xf numFmtId="0" fontId="2" fillId="5" borderId="43" xfId="0" applyFont="1" applyFill="1" applyBorder="1" applyAlignment="1" applyProtection="1">
      <alignment vertical="center"/>
      <protection locked="0"/>
    </xf>
    <xf numFmtId="0" fontId="2" fillId="5" borderId="45" xfId="0" applyFont="1" applyFill="1" applyBorder="1" applyAlignment="1" applyProtection="1">
      <alignment vertical="center"/>
      <protection locked="0"/>
    </xf>
    <xf numFmtId="0" fontId="2" fillId="5" borderId="43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167" fontId="130" fillId="0" borderId="0" xfId="1" applyNumberFormat="1" applyFont="1" applyBorder="1" applyAlignment="1" applyProtection="1">
      <alignment horizontal="right" vertical="center" wrapText="1"/>
      <protection locked="0"/>
    </xf>
    <xf numFmtId="167" fontId="6" fillId="0" borderId="0" xfId="1" applyNumberFormat="1" applyFont="1" applyBorder="1" applyAlignment="1" applyProtection="1">
      <alignment horizontal="right" vertical="center" wrapText="1"/>
      <protection locked="0"/>
    </xf>
    <xf numFmtId="167" fontId="6" fillId="0" borderId="44" xfId="1" applyNumberFormat="1" applyFont="1" applyBorder="1" applyAlignment="1" applyProtection="1">
      <alignment horizontal="right" vertical="center" wrapText="1"/>
      <protection locked="0"/>
    </xf>
    <xf numFmtId="167" fontId="130" fillId="0" borderId="46" xfId="1" applyNumberFormat="1" applyFont="1" applyBorder="1" applyAlignment="1" applyProtection="1">
      <alignment horizontal="right" vertical="center" wrapText="1"/>
      <protection locked="0"/>
    </xf>
    <xf numFmtId="167" fontId="6" fillId="0" borderId="46" xfId="1" applyNumberFormat="1" applyFont="1" applyBorder="1" applyAlignment="1" applyProtection="1">
      <alignment horizontal="right" vertical="center" wrapText="1"/>
      <protection locked="0"/>
    </xf>
    <xf numFmtId="167" fontId="6" fillId="0" borderId="47" xfId="1" applyNumberFormat="1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Protection="1">
      <protection locked="0"/>
    </xf>
    <xf numFmtId="167" fontId="3" fillId="0" borderId="0" xfId="1" applyNumberFormat="1" applyFont="1" applyBorder="1" applyProtection="1">
      <protection locked="0"/>
    </xf>
    <xf numFmtId="167" fontId="3" fillId="0" borderId="5" xfId="1" applyNumberFormat="1" applyFont="1" applyBorder="1" applyProtection="1">
      <protection locked="0"/>
    </xf>
    <xf numFmtId="0" fontId="12" fillId="0" borderId="0" xfId="2" applyProtection="1"/>
    <xf numFmtId="167" fontId="4" fillId="3" borderId="0" xfId="1" applyNumberFormat="1" applyFont="1" applyFill="1" applyBorder="1" applyProtection="1"/>
    <xf numFmtId="167" fontId="3" fillId="0" borderId="0" xfId="1" applyNumberFormat="1" applyFont="1" applyFill="1" applyBorder="1" applyProtection="1">
      <protection locked="0"/>
    </xf>
    <xf numFmtId="167" fontId="6" fillId="0" borderId="5" xfId="1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167" fontId="4" fillId="2" borderId="0" xfId="1" applyNumberFormat="1" applyFont="1" applyFill="1" applyBorder="1" applyProtection="1">
      <protection locked="0"/>
    </xf>
    <xf numFmtId="0" fontId="7" fillId="3" borderId="48" xfId="0" applyFont="1" applyFill="1" applyBorder="1" applyAlignment="1">
      <alignment vertical="center" wrapText="1"/>
    </xf>
    <xf numFmtId="167" fontId="7" fillId="3" borderId="39" xfId="0" applyNumberFormat="1" applyFont="1" applyFill="1" applyBorder="1" applyAlignment="1">
      <alignment horizontal="right"/>
    </xf>
    <xf numFmtId="167" fontId="2" fillId="0" borderId="0" xfId="1" applyNumberFormat="1" applyFont="1" applyFill="1" applyBorder="1" applyProtection="1">
      <protection locked="0"/>
    </xf>
    <xf numFmtId="167" fontId="6" fillId="0" borderId="0" xfId="1" applyNumberFormat="1" applyFont="1" applyFill="1" applyBorder="1" applyProtection="1">
      <protection locked="0"/>
    </xf>
    <xf numFmtId="167" fontId="3" fillId="0" borderId="5" xfId="1" applyNumberFormat="1" applyFont="1" applyFill="1" applyBorder="1" applyProtection="1">
      <protection locked="0"/>
    </xf>
    <xf numFmtId="167" fontId="4" fillId="2" borderId="0" xfId="1" applyNumberFormat="1" applyFont="1" applyFill="1" applyBorder="1" applyProtection="1"/>
    <xf numFmtId="167" fontId="7" fillId="2" borderId="0" xfId="1" applyNumberFormat="1" applyFont="1" applyFill="1" applyBorder="1" applyProtection="1"/>
    <xf numFmtId="167" fontId="4" fillId="2" borderId="5" xfId="1" applyNumberFormat="1" applyFont="1" applyFill="1" applyBorder="1" applyProtection="1"/>
    <xf numFmtId="0" fontId="4" fillId="2" borderId="6" xfId="0" applyFont="1" applyFill="1" applyBorder="1"/>
    <xf numFmtId="167" fontId="4" fillId="2" borderId="7" xfId="1" applyNumberFormat="1" applyFont="1" applyFill="1" applyBorder="1" applyProtection="1"/>
    <xf numFmtId="167" fontId="4" fillId="2" borderId="8" xfId="1" applyNumberFormat="1" applyFont="1" applyFill="1" applyBorder="1" applyProtection="1"/>
    <xf numFmtId="0" fontId="3" fillId="0" borderId="4" xfId="0" applyFont="1" applyBorder="1"/>
    <xf numFmtId="167" fontId="3" fillId="0" borderId="0" xfId="1" applyNumberFormat="1" applyFont="1" applyBorder="1" applyProtection="1"/>
    <xf numFmtId="0" fontId="4" fillId="3" borderId="4" xfId="0" applyFont="1" applyFill="1" applyBorder="1"/>
    <xf numFmtId="0" fontId="3" fillId="0" borderId="6" xfId="0" applyFont="1" applyBorder="1"/>
    <xf numFmtId="167" fontId="0" fillId="0" borderId="0" xfId="0" applyNumberFormat="1"/>
    <xf numFmtId="167" fontId="6" fillId="79" borderId="0" xfId="1" applyNumberFormat="1" applyFont="1" applyFill="1" applyBorder="1" applyAlignment="1">
      <alignment horizontal="right" vertical="center" wrapText="1"/>
    </xf>
    <xf numFmtId="167" fontId="6" fillId="79" borderId="5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2" fillId="0" borderId="0" xfId="0" applyFont="1" applyAlignment="1">
      <alignment horizontal="left" vertical="center" wrapText="1"/>
    </xf>
    <xf numFmtId="0" fontId="4" fillId="4" borderId="4" xfId="0" applyFont="1" applyFill="1" applyBorder="1"/>
    <xf numFmtId="0" fontId="7" fillId="3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167" fontId="6" fillId="0" borderId="4" xfId="0" applyNumberFormat="1" applyFont="1" applyBorder="1" applyAlignment="1">
      <alignment horizontal="left"/>
    </xf>
    <xf numFmtId="167" fontId="6" fillId="0" borderId="7" xfId="1" applyNumberFormat="1" applyFont="1" applyFill="1" applyBorder="1" applyAlignment="1">
      <alignment horizontal="right" vertical="center" wrapText="1"/>
    </xf>
    <xf numFmtId="0" fontId="136" fillId="0" borderId="0" xfId="0" applyFont="1"/>
    <xf numFmtId="3" fontId="10" fillId="0" borderId="0" xfId="0" applyNumberFormat="1" applyFont="1"/>
    <xf numFmtId="0" fontId="1" fillId="4" borderId="4" xfId="0" applyFont="1" applyFill="1" applyBorder="1" applyAlignment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3" borderId="40" xfId="0" applyFont="1" applyFill="1" applyBorder="1"/>
    <xf numFmtId="0" fontId="4" fillId="3" borderId="41" xfId="0" applyFont="1" applyFill="1" applyBorder="1"/>
    <xf numFmtId="0" fontId="4" fillId="3" borderId="42" xfId="0" applyFont="1" applyFill="1" applyBorder="1"/>
    <xf numFmtId="0" fontId="4" fillId="2" borderId="43" xfId="0" applyFont="1" applyFill="1" applyBorder="1"/>
    <xf numFmtId="0" fontId="4" fillId="2" borderId="0" xfId="0" applyFont="1" applyFill="1"/>
    <xf numFmtId="0" fontId="4" fillId="2" borderId="44" xfId="0" applyFont="1" applyFill="1" applyBorder="1"/>
    <xf numFmtId="0" fontId="3" fillId="0" borderId="43" xfId="0" applyFont="1" applyBorder="1"/>
    <xf numFmtId="0" fontId="3" fillId="0" borderId="44" xfId="0" applyFont="1" applyBorder="1"/>
    <xf numFmtId="0" fontId="4" fillId="2" borderId="46" xfId="0" applyFont="1" applyFill="1" applyBorder="1"/>
    <xf numFmtId="3" fontId="2" fillId="0" borderId="0" xfId="0" applyNumberFormat="1" applyFont="1" applyAlignment="1" applyProtection="1">
      <alignment horizontal="right" vertical="center" wrapText="1"/>
      <protection locked="0"/>
    </xf>
    <xf numFmtId="3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8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left" vertical="center" wrapText="1"/>
    </xf>
    <xf numFmtId="167" fontId="133" fillId="2" borderId="0" xfId="1" applyNumberFormat="1" applyFont="1" applyFill="1" applyBorder="1" applyAlignment="1" applyProtection="1">
      <alignment horizontal="right" vertical="center" wrapText="1"/>
    </xf>
    <xf numFmtId="167" fontId="133" fillId="2" borderId="44" xfId="1" applyNumberFormat="1" applyFont="1" applyFill="1" applyBorder="1" applyAlignment="1" applyProtection="1">
      <alignment horizontal="right" vertical="center" wrapText="1"/>
    </xf>
    <xf numFmtId="0" fontId="7" fillId="2" borderId="43" xfId="0" applyFont="1" applyFill="1" applyBorder="1" applyAlignment="1">
      <alignment vertical="center" wrapText="1"/>
    </xf>
    <xf numFmtId="167" fontId="7" fillId="2" borderId="0" xfId="1" applyNumberFormat="1" applyFont="1" applyFill="1" applyBorder="1" applyAlignment="1" applyProtection="1">
      <alignment horizontal="right" vertical="center" wrapText="1"/>
    </xf>
    <xf numFmtId="167" fontId="7" fillId="2" borderId="44" xfId="1" applyNumberFormat="1" applyFont="1" applyFill="1" applyBorder="1" applyAlignment="1" applyProtection="1">
      <alignment horizontal="right" vertical="center" wrapText="1"/>
    </xf>
    <xf numFmtId="167" fontId="6" fillId="79" borderId="7" xfId="1" applyNumberFormat="1" applyFont="1" applyFill="1" applyBorder="1" applyAlignment="1">
      <alignment horizontal="right" vertical="center" wrapText="1"/>
    </xf>
    <xf numFmtId="167" fontId="6" fillId="79" borderId="8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218" fontId="1" fillId="0" borderId="0" xfId="0" applyNumberFormat="1" applyFont="1" applyAlignment="1" applyProtection="1">
      <alignment horizontal="right" vertical="center" wrapText="1"/>
      <protection locked="0"/>
    </xf>
    <xf numFmtId="218" fontId="1" fillId="0" borderId="0" xfId="0" applyNumberFormat="1" applyFont="1" applyAlignment="1" applyProtection="1">
      <alignment horizontal="right" vertical="center"/>
      <protection locked="0"/>
    </xf>
    <xf numFmtId="218" fontId="1" fillId="0" borderId="44" xfId="0" applyNumberFormat="1" applyFont="1" applyBorder="1" applyAlignment="1" applyProtection="1">
      <alignment horizontal="right" vertical="center" wrapText="1"/>
      <protection locked="0"/>
    </xf>
    <xf numFmtId="218" fontId="3" fillId="0" borderId="0" xfId="1" applyNumberFormat="1" applyFont="1" applyBorder="1" applyAlignment="1" applyProtection="1">
      <alignment horizontal="right"/>
      <protection locked="0"/>
    </xf>
    <xf numFmtId="218" fontId="3" fillId="0" borderId="44" xfId="1" applyNumberFormat="1" applyFont="1" applyFill="1" applyBorder="1" applyAlignment="1" applyProtection="1">
      <alignment horizontal="right"/>
      <protection locked="0"/>
    </xf>
    <xf numFmtId="218" fontId="4" fillId="2" borderId="0" xfId="1" applyNumberFormat="1" applyFont="1" applyFill="1" applyBorder="1" applyAlignment="1">
      <alignment horizontal="right"/>
    </xf>
    <xf numFmtId="218" fontId="4" fillId="2" borderId="44" xfId="1" applyNumberFormat="1" applyFont="1" applyFill="1" applyBorder="1" applyAlignment="1">
      <alignment horizontal="right"/>
    </xf>
    <xf numFmtId="218" fontId="3" fillId="0" borderId="0" xfId="1" applyNumberFormat="1" applyFont="1" applyFill="1" applyBorder="1" applyAlignment="1" applyProtection="1">
      <alignment horizontal="right"/>
      <protection locked="0"/>
    </xf>
    <xf numFmtId="218" fontId="3" fillId="0" borderId="46" xfId="1" applyNumberFormat="1" applyFont="1" applyBorder="1" applyAlignment="1" applyProtection="1">
      <alignment horizontal="right"/>
      <protection locked="0"/>
    </xf>
    <xf numFmtId="218" fontId="3" fillId="0" borderId="47" xfId="1" applyNumberFormat="1" applyFont="1" applyFill="1" applyBorder="1" applyAlignment="1" applyProtection="1">
      <alignment horizontal="right"/>
      <protection locked="0"/>
    </xf>
    <xf numFmtId="218" fontId="2" fillId="0" borderId="0" xfId="0" applyNumberFormat="1" applyFont="1" applyAlignment="1">
      <alignment horizontal="right" vertical="center"/>
    </xf>
    <xf numFmtId="218" fontId="2" fillId="0" borderId="5" xfId="0" applyNumberFormat="1" applyFont="1" applyBorder="1" applyAlignment="1">
      <alignment horizontal="right" vertical="center"/>
    </xf>
    <xf numFmtId="218" fontId="1" fillId="2" borderId="0" xfId="0" applyNumberFormat="1" applyFont="1" applyFill="1" applyAlignment="1">
      <alignment horizontal="right" vertical="center"/>
    </xf>
    <xf numFmtId="218" fontId="1" fillId="2" borderId="5" xfId="0" applyNumberFormat="1" applyFont="1" applyFill="1" applyBorder="1" applyAlignment="1">
      <alignment horizontal="right" vertical="center"/>
    </xf>
    <xf numFmtId="218" fontId="1" fillId="2" borderId="7" xfId="0" applyNumberFormat="1" applyFont="1" applyFill="1" applyBorder="1" applyAlignment="1">
      <alignment horizontal="right" vertical="center"/>
    </xf>
    <xf numFmtId="218" fontId="1" fillId="2" borderId="8" xfId="0" applyNumberFormat="1" applyFont="1" applyFill="1" applyBorder="1" applyAlignment="1">
      <alignment horizontal="right" vertical="center"/>
    </xf>
    <xf numFmtId="218" fontId="16" fillId="0" borderId="0" xfId="0" applyNumberFormat="1" applyFont="1" applyAlignment="1">
      <alignment horizontal="right" vertical="center"/>
    </xf>
    <xf numFmtId="218" fontId="135" fillId="0" borderId="0" xfId="0" applyNumberFormat="1" applyFont="1" applyAlignment="1">
      <alignment horizontal="right" vertical="center"/>
    </xf>
    <xf numFmtId="218" fontId="135" fillId="0" borderId="44" xfId="0" applyNumberFormat="1" applyFont="1" applyBorder="1" applyAlignment="1">
      <alignment horizontal="right" vertical="center"/>
    </xf>
    <xf numFmtId="218" fontId="17" fillId="0" borderId="0" xfId="0" applyNumberFormat="1" applyFont="1" applyAlignment="1">
      <alignment horizontal="right" vertical="center"/>
    </xf>
    <xf numFmtId="218" fontId="17" fillId="0" borderId="44" xfId="0" applyNumberFormat="1" applyFont="1" applyBorder="1" applyAlignment="1">
      <alignment horizontal="right" vertical="center"/>
    </xf>
    <xf numFmtId="218" fontId="17" fillId="6" borderId="0" xfId="0" applyNumberFormat="1" applyFont="1" applyFill="1" applyAlignment="1">
      <alignment horizontal="right" vertical="center"/>
    </xf>
    <xf numFmtId="218" fontId="17" fillId="6" borderId="44" xfId="0" applyNumberFormat="1" applyFont="1" applyFill="1" applyBorder="1" applyAlignment="1">
      <alignment horizontal="right" vertical="center"/>
    </xf>
    <xf numFmtId="218" fontId="2" fillId="0" borderId="0" xfId="0" applyNumberFormat="1" applyFont="1" applyAlignment="1" applyProtection="1">
      <alignment horizontal="right" vertical="center"/>
      <protection locked="0"/>
    </xf>
    <xf numFmtId="218" fontId="2" fillId="0" borderId="44" xfId="0" applyNumberFormat="1" applyFont="1" applyBorder="1" applyAlignment="1" applyProtection="1">
      <alignment horizontal="right" vertical="center"/>
      <protection locked="0"/>
    </xf>
    <xf numFmtId="218" fontId="7" fillId="2" borderId="44" xfId="0" applyNumberFormat="1" applyFont="1" applyFill="1" applyBorder="1" applyAlignment="1">
      <alignment horizontal="right" vertical="center"/>
    </xf>
    <xf numFmtId="218" fontId="1" fillId="2" borderId="44" xfId="0" applyNumberFormat="1" applyFont="1" applyFill="1" applyBorder="1" applyAlignment="1">
      <alignment horizontal="right" vertical="center"/>
    </xf>
    <xf numFmtId="218" fontId="1" fillId="2" borderId="46" xfId="0" applyNumberFormat="1" applyFont="1" applyFill="1" applyBorder="1" applyAlignment="1">
      <alignment horizontal="right" vertical="center"/>
    </xf>
    <xf numFmtId="218" fontId="1" fillId="2" borderId="47" xfId="0" applyNumberFormat="1" applyFont="1" applyFill="1" applyBorder="1" applyAlignment="1">
      <alignment horizontal="right" vertical="center"/>
    </xf>
    <xf numFmtId="218" fontId="2" fillId="0" borderId="0" xfId="0" applyNumberFormat="1" applyFont="1" applyAlignment="1">
      <alignment vertical="center"/>
    </xf>
    <xf numFmtId="218" fontId="2" fillId="0" borderId="44" xfId="0" applyNumberFormat="1" applyFont="1" applyBorder="1" applyAlignment="1">
      <alignment vertical="center"/>
    </xf>
    <xf numFmtId="218" fontId="6" fillId="0" borderId="0" xfId="0" applyNumberFormat="1" applyFont="1" applyAlignment="1">
      <alignment vertical="center"/>
    </xf>
    <xf numFmtId="218" fontId="6" fillId="0" borderId="44" xfId="0" applyNumberFormat="1" applyFont="1" applyBorder="1" applyAlignment="1">
      <alignment vertical="center"/>
    </xf>
    <xf numFmtId="218" fontId="6" fillId="0" borderId="0" xfId="0" applyNumberFormat="1" applyFont="1" applyAlignment="1" applyProtection="1">
      <alignment horizontal="right" vertical="center"/>
      <protection locked="0"/>
    </xf>
    <xf numFmtId="218" fontId="6" fillId="0" borderId="44" xfId="0" applyNumberFormat="1" applyFont="1" applyBorder="1" applyAlignment="1" applyProtection="1">
      <alignment horizontal="right" vertical="center"/>
      <protection locked="0"/>
    </xf>
    <xf numFmtId="218" fontId="7" fillId="2" borderId="0" xfId="0" applyNumberFormat="1" applyFont="1" applyFill="1" applyAlignment="1">
      <alignment horizontal="right" vertical="center"/>
    </xf>
    <xf numFmtId="218" fontId="7" fillId="2" borderId="46" xfId="0" applyNumberFormat="1" applyFont="1" applyFill="1" applyBorder="1" applyAlignment="1">
      <alignment horizontal="right" vertical="center"/>
    </xf>
    <xf numFmtId="218" fontId="7" fillId="2" borderId="47" xfId="0" applyNumberFormat="1" applyFont="1" applyFill="1" applyBorder="1" applyAlignment="1">
      <alignment horizontal="right" vertical="center"/>
    </xf>
    <xf numFmtId="218" fontId="2" fillId="5" borderId="0" xfId="0" applyNumberFormat="1" applyFont="1" applyFill="1" applyAlignment="1">
      <alignment horizontal="right" vertical="center" wrapText="1"/>
    </xf>
    <xf numFmtId="218" fontId="2" fillId="5" borderId="5" xfId="0" applyNumberFormat="1" applyFont="1" applyFill="1" applyBorder="1" applyAlignment="1">
      <alignment horizontal="right" vertical="center" wrapText="1"/>
    </xf>
    <xf numFmtId="218" fontId="1" fillId="2" borderId="0" xfId="0" applyNumberFormat="1" applyFont="1" applyFill="1" applyAlignment="1">
      <alignment horizontal="right" vertical="center" wrapText="1"/>
    </xf>
    <xf numFmtId="218" fontId="1" fillId="2" borderId="5" xfId="0" applyNumberFormat="1" applyFont="1" applyFill="1" applyBorder="1" applyAlignment="1">
      <alignment horizontal="right" vertical="center" wrapText="1"/>
    </xf>
    <xf numFmtId="218" fontId="2" fillId="5" borderId="44" xfId="0" applyNumberFormat="1" applyFont="1" applyFill="1" applyBorder="1" applyAlignment="1">
      <alignment horizontal="right" vertical="center" wrapText="1"/>
    </xf>
    <xf numFmtId="218" fontId="1" fillId="2" borderId="44" xfId="0" applyNumberFormat="1" applyFont="1" applyFill="1" applyBorder="1" applyAlignment="1">
      <alignment horizontal="right" vertical="center" wrapText="1"/>
    </xf>
    <xf numFmtId="218" fontId="1" fillId="2" borderId="46" xfId="0" applyNumberFormat="1" applyFont="1" applyFill="1" applyBorder="1" applyAlignment="1">
      <alignment horizontal="right" vertical="center" wrapText="1"/>
    </xf>
    <xf numFmtId="218" fontId="1" fillId="2" borderId="47" xfId="0" applyNumberFormat="1" applyFont="1" applyFill="1" applyBorder="1" applyAlignment="1">
      <alignment horizontal="right" vertical="center" wrapText="1"/>
    </xf>
    <xf numFmtId="218" fontId="6" fillId="0" borderId="0" xfId="0" applyNumberFormat="1" applyFont="1" applyAlignment="1">
      <alignment horizontal="right" vertical="center"/>
    </xf>
    <xf numFmtId="218" fontId="3" fillId="0" borderId="0" xfId="1" applyNumberFormat="1" applyFont="1" applyBorder="1"/>
    <xf numFmtId="218" fontId="3" fillId="0" borderId="5" xfId="1" applyNumberFormat="1" applyFont="1" applyBorder="1"/>
    <xf numFmtId="218" fontId="1" fillId="2" borderId="0" xfId="0" applyNumberFormat="1" applyFont="1" applyFill="1" applyAlignment="1">
      <alignment vertical="center"/>
    </xf>
    <xf numFmtId="218" fontId="1" fillId="2" borderId="5" xfId="0" applyNumberFormat="1" applyFont="1" applyFill="1" applyBorder="1" applyAlignment="1">
      <alignment vertical="center"/>
    </xf>
    <xf numFmtId="218" fontId="4" fillId="4" borderId="0" xfId="0" applyNumberFormat="1" applyFont="1" applyFill="1"/>
    <xf numFmtId="218" fontId="4" fillId="4" borderId="5" xfId="0" applyNumberFormat="1" applyFont="1" applyFill="1" applyBorder="1"/>
    <xf numFmtId="218" fontId="3" fillId="0" borderId="0" xfId="0" applyNumberFormat="1" applyFont="1"/>
    <xf numFmtId="218" fontId="3" fillId="0" borderId="5" xfId="0" applyNumberFormat="1" applyFont="1" applyBorder="1"/>
    <xf numFmtId="218" fontId="3" fillId="0" borderId="7" xfId="0" applyNumberFormat="1" applyFont="1" applyBorder="1"/>
    <xf numFmtId="218" fontId="3" fillId="0" borderId="8" xfId="0" applyNumberFormat="1" applyFont="1" applyBorder="1"/>
    <xf numFmtId="218" fontId="1" fillId="3" borderId="0" xfId="1" applyNumberFormat="1" applyFont="1" applyFill="1" applyBorder="1" applyAlignment="1">
      <alignment vertical="center" wrapText="1"/>
    </xf>
    <xf numFmtId="218" fontId="1" fillId="3" borderId="44" xfId="1" applyNumberFormat="1" applyFont="1" applyFill="1" applyBorder="1" applyAlignment="1">
      <alignment vertical="center" wrapText="1"/>
    </xf>
    <xf numFmtId="218" fontId="4" fillId="3" borderId="0" xfId="1" applyNumberFormat="1" applyFont="1" applyFill="1" applyBorder="1"/>
    <xf numFmtId="218" fontId="128" fillId="3" borderId="44" xfId="1" applyNumberFormat="1" applyFont="1" applyFill="1" applyBorder="1"/>
    <xf numFmtId="218" fontId="3" fillId="0" borderId="44" xfId="1" applyNumberFormat="1" applyFont="1" applyBorder="1"/>
    <xf numFmtId="218" fontId="4" fillId="2" borderId="0" xfId="1" applyNumberFormat="1" applyFont="1" applyFill="1" applyBorder="1"/>
    <xf numFmtId="218" fontId="4" fillId="2" borderId="44" xfId="1" applyNumberFormat="1" applyFont="1" applyFill="1" applyBorder="1"/>
    <xf numFmtId="218" fontId="128" fillId="2" borderId="44" xfId="1" applyNumberFormat="1" applyFont="1" applyFill="1" applyBorder="1"/>
    <xf numFmtId="218" fontId="3" fillId="0" borderId="0" xfId="0" applyNumberFormat="1" applyFont="1" applyAlignment="1">
      <alignment horizontal="right"/>
    </xf>
    <xf numFmtId="218" fontId="129" fillId="0" borderId="44" xfId="0" applyNumberFormat="1" applyFont="1" applyBorder="1" applyAlignment="1">
      <alignment horizontal="right"/>
    </xf>
    <xf numFmtId="218" fontId="129" fillId="0" borderId="46" xfId="0" applyNumberFormat="1" applyFont="1" applyBorder="1" applyAlignment="1">
      <alignment horizontal="right"/>
    </xf>
    <xf numFmtId="218" fontId="129" fillId="0" borderId="47" xfId="0" applyNumberFormat="1" applyFont="1" applyBorder="1" applyAlignment="1">
      <alignment horizontal="right"/>
    </xf>
    <xf numFmtId="218" fontId="7" fillId="2" borderId="0" xfId="0" applyNumberFormat="1" applyFont="1" applyFill="1" applyAlignment="1">
      <alignment horizontal="right" vertical="center" wrapText="1"/>
    </xf>
    <xf numFmtId="218" fontId="1" fillId="4" borderId="0" xfId="0" applyNumberFormat="1" applyFont="1" applyFill="1" applyAlignment="1">
      <alignment horizontal="right" vertical="center" wrapText="1"/>
    </xf>
    <xf numFmtId="218" fontId="1" fillId="4" borderId="5" xfId="0" applyNumberFormat="1" applyFont="1" applyFill="1" applyBorder="1" applyAlignment="1">
      <alignment horizontal="right" vertical="center" wrapText="1"/>
    </xf>
    <xf numFmtId="218" fontId="3" fillId="0" borderId="0" xfId="0" applyNumberFormat="1" applyFont="1" applyProtection="1">
      <protection locked="0"/>
    </xf>
    <xf numFmtId="218" fontId="3" fillId="0" borderId="5" xfId="0" applyNumberFormat="1" applyFont="1" applyBorder="1" applyProtection="1">
      <protection locked="0"/>
    </xf>
    <xf numFmtId="218" fontId="2" fillId="0" borderId="0" xfId="0" applyNumberFormat="1" applyFont="1" applyAlignment="1" applyProtection="1">
      <alignment horizontal="right" vertical="center" wrapText="1"/>
      <protection locked="0"/>
    </xf>
    <xf numFmtId="218" fontId="4" fillId="4" borderId="5" xfId="0" applyNumberFormat="1" applyFont="1" applyFill="1" applyBorder="1" applyAlignment="1">
      <alignment vertical="center"/>
    </xf>
    <xf numFmtId="218" fontId="3" fillId="0" borderId="7" xfId="0" applyNumberFormat="1" applyFont="1" applyBorder="1" applyProtection="1">
      <protection locked="0"/>
    </xf>
    <xf numFmtId="218" fontId="3" fillId="0" borderId="8" xfId="0" applyNumberFormat="1" applyFont="1" applyBorder="1" applyProtection="1">
      <protection locked="0"/>
    </xf>
    <xf numFmtId="218" fontId="7" fillId="4" borderId="0" xfId="1" applyNumberFormat="1" applyFont="1" applyFill="1" applyBorder="1" applyAlignment="1">
      <alignment horizontal="right" vertical="center" wrapText="1"/>
    </xf>
    <xf numFmtId="218" fontId="7" fillId="4" borderId="5" xfId="1" applyNumberFormat="1" applyFont="1" applyFill="1" applyBorder="1" applyAlignment="1">
      <alignment horizontal="right" vertical="center" wrapText="1"/>
    </xf>
    <xf numFmtId="218" fontId="6" fillId="0" borderId="0" xfId="0" applyNumberFormat="1" applyFont="1" applyAlignment="1">
      <alignment horizontal="right"/>
    </xf>
    <xf numFmtId="218" fontId="6" fillId="0" borderId="7" xfId="0" applyNumberFormat="1" applyFont="1" applyBorder="1" applyAlignment="1">
      <alignment horizontal="right"/>
    </xf>
    <xf numFmtId="218" fontId="3" fillId="0" borderId="5" xfId="0" applyNumberFormat="1" applyFont="1" applyBorder="1" applyAlignment="1">
      <alignment horizontal="right"/>
    </xf>
    <xf numFmtId="218" fontId="6" fillId="0" borderId="0" xfId="1" applyNumberFormat="1" applyFont="1" applyFill="1" applyBorder="1" applyAlignment="1">
      <alignment horizontal="right" vertical="center" wrapText="1"/>
    </xf>
    <xf numFmtId="218" fontId="6" fillId="0" borderId="5" xfId="1" applyNumberFormat="1" applyFont="1" applyFill="1" applyBorder="1" applyAlignment="1">
      <alignment horizontal="right" vertical="center" wrapText="1"/>
    </xf>
    <xf numFmtId="218" fontId="6" fillId="0" borderId="0" xfId="1" applyNumberFormat="1" applyFont="1" applyFill="1"/>
    <xf numFmtId="218" fontId="2" fillId="0" borderId="0" xfId="1" applyNumberFormat="1" applyFont="1" applyFill="1"/>
    <xf numFmtId="218" fontId="3" fillId="0" borderId="0" xfId="1" applyNumberFormat="1" applyFont="1" applyFill="1"/>
    <xf numFmtId="218" fontId="3" fillId="0" borderId="5" xfId="1" applyNumberFormat="1" applyFont="1" applyFill="1" applyBorder="1"/>
    <xf numFmtId="218" fontId="6" fillId="0" borderId="5" xfId="1" applyNumberFormat="1" applyFont="1" applyFill="1" applyBorder="1"/>
    <xf numFmtId="218" fontId="3" fillId="0" borderId="5" xfId="0" applyNumberFormat="1" applyFont="1" applyBorder="1" applyAlignment="1">
      <alignment horizontal="right" vertical="center"/>
    </xf>
    <xf numFmtId="219" fontId="7" fillId="2" borderId="0" xfId="1" applyNumberFormat="1" applyFont="1" applyFill="1" applyBorder="1" applyAlignment="1">
      <alignment horizontal="right" vertical="center" wrapText="1"/>
    </xf>
    <xf numFmtId="219" fontId="6" fillId="0" borderId="0" xfId="1" applyNumberFormat="1" applyFont="1" applyFill="1" applyBorder="1" applyAlignment="1">
      <alignment horizontal="right" vertical="center" wrapText="1"/>
    </xf>
    <xf numFmtId="219" fontId="6" fillId="0" borderId="0" xfId="0" applyNumberFormat="1" applyFont="1" applyAlignment="1">
      <alignment horizontal="right"/>
    </xf>
    <xf numFmtId="219" fontId="6" fillId="79" borderId="0" xfId="1" applyNumberFormat="1" applyFont="1" applyFill="1" applyBorder="1" applyAlignment="1">
      <alignment horizontal="right" vertical="center" wrapText="1"/>
    </xf>
    <xf numFmtId="219" fontId="6" fillId="79" borderId="5" xfId="1" applyNumberFormat="1" applyFont="1" applyFill="1" applyBorder="1" applyAlignment="1">
      <alignment horizontal="right" vertical="center" wrapText="1"/>
    </xf>
    <xf numFmtId="219" fontId="6" fillId="0" borderId="7" xfId="0" applyNumberFormat="1" applyFont="1" applyBorder="1" applyAlignment="1">
      <alignment horizontal="right"/>
    </xf>
    <xf numFmtId="219" fontId="7" fillId="0" borderId="0" xfId="1" applyNumberFormat="1" applyFont="1" applyBorder="1" applyAlignment="1">
      <alignment vertical="center" wrapText="1"/>
    </xf>
    <xf numFmtId="219" fontId="7" fillId="0" borderId="5" xfId="1" applyNumberFormat="1" applyFont="1" applyBorder="1" applyAlignment="1">
      <alignment vertical="center" wrapText="1"/>
    </xf>
    <xf numFmtId="219" fontId="7" fillId="0" borderId="0" xfId="1" applyNumberFormat="1" applyFont="1" applyBorder="1" applyAlignment="1"/>
    <xf numFmtId="219" fontId="6" fillId="0" borderId="0" xfId="1" applyNumberFormat="1" applyFont="1" applyBorder="1" applyAlignment="1"/>
    <xf numFmtId="219" fontId="6" fillId="0" borderId="5" xfId="1" applyNumberFormat="1" applyFont="1" applyBorder="1" applyAlignment="1"/>
    <xf numFmtId="219" fontId="3" fillId="0" borderId="0" xfId="1" applyNumberFormat="1" applyFont="1" applyBorder="1"/>
    <xf numFmtId="219" fontId="3" fillId="0" borderId="5" xfId="1" applyNumberFormat="1" applyFont="1" applyBorder="1"/>
    <xf numFmtId="219" fontId="6" fillId="0" borderId="0" xfId="1" applyNumberFormat="1" applyFont="1" applyFill="1" applyBorder="1" applyAlignment="1"/>
    <xf numFmtId="219" fontId="7" fillId="2" borderId="0" xfId="1" applyNumberFormat="1" applyFont="1" applyFill="1" applyBorder="1" applyAlignment="1">
      <alignment vertical="center" wrapText="1"/>
    </xf>
    <xf numFmtId="219" fontId="7" fillId="2" borderId="5" xfId="1" applyNumberFormat="1" applyFont="1" applyFill="1" applyBorder="1" applyAlignment="1">
      <alignment vertical="center" wrapText="1"/>
    </xf>
    <xf numFmtId="219" fontId="6" fillId="0" borderId="0" xfId="1" applyNumberFormat="1" applyFont="1" applyFill="1" applyBorder="1" applyAlignment="1">
      <alignment vertical="center" wrapText="1"/>
    </xf>
    <xf numFmtId="219" fontId="6" fillId="0" borderId="0" xfId="1" applyNumberFormat="1" applyFont="1" applyBorder="1" applyAlignment="1">
      <alignment vertical="center" wrapText="1"/>
    </xf>
    <xf numFmtId="219" fontId="6" fillId="0" borderId="5" xfId="1" applyNumberFormat="1" applyFont="1" applyBorder="1" applyAlignment="1">
      <alignment vertical="center" wrapText="1"/>
    </xf>
    <xf numFmtId="219" fontId="130" fillId="0" borderId="0" xfId="1" applyNumberFormat="1" applyFont="1" applyFill="1" applyBorder="1" applyAlignment="1">
      <alignment vertical="center" wrapText="1"/>
    </xf>
    <xf numFmtId="219" fontId="6" fillId="0" borderId="5" xfId="1" applyNumberFormat="1" applyFont="1" applyFill="1" applyBorder="1" applyAlignment="1">
      <alignment vertical="center" wrapText="1"/>
    </xf>
    <xf numFmtId="219" fontId="6" fillId="79" borderId="7" xfId="1" applyNumberFormat="1" applyFont="1" applyFill="1" applyBorder="1" applyAlignment="1">
      <alignment horizontal="right" vertical="center" wrapText="1"/>
    </xf>
    <xf numFmtId="219" fontId="6" fillId="79" borderId="8" xfId="1" applyNumberFormat="1" applyFont="1" applyFill="1" applyBorder="1" applyAlignment="1">
      <alignment horizontal="right" vertical="center" wrapText="1"/>
    </xf>
    <xf numFmtId="218" fontId="16" fillId="0" borderId="44" xfId="0" applyNumberFormat="1" applyFont="1" applyBorder="1" applyAlignment="1">
      <alignment horizontal="right" vertical="center"/>
    </xf>
    <xf numFmtId="0" fontId="16" fillId="0" borderId="43" xfId="0" applyFont="1" applyBorder="1" applyAlignment="1">
      <alignment vertical="center"/>
    </xf>
    <xf numFmtId="0" fontId="16" fillId="5" borderId="45" xfId="0" applyFont="1" applyFill="1" applyBorder="1" applyAlignment="1">
      <alignment vertical="center"/>
    </xf>
    <xf numFmtId="218" fontId="16" fillId="0" borderId="46" xfId="0" applyNumberFormat="1" applyFont="1" applyBorder="1" applyAlignment="1">
      <alignment horizontal="right" vertical="center"/>
    </xf>
    <xf numFmtId="218" fontId="16" fillId="0" borderId="47" xfId="0" applyNumberFormat="1" applyFont="1" applyBorder="1" applyAlignment="1">
      <alignment horizontal="right" vertical="center"/>
    </xf>
    <xf numFmtId="0" fontId="1" fillId="5" borderId="43" xfId="0" applyFont="1" applyFill="1" applyBorder="1" applyAlignment="1">
      <alignment vertical="center"/>
    </xf>
    <xf numFmtId="218" fontId="1" fillId="0" borderId="0" xfId="0" applyNumberFormat="1" applyFont="1" applyAlignment="1">
      <alignment vertical="center"/>
    </xf>
    <xf numFmtId="218" fontId="1" fillId="0" borderId="44" xfId="0" applyNumberFormat="1" applyFont="1" applyBorder="1" applyAlignment="1">
      <alignment vertical="center"/>
    </xf>
    <xf numFmtId="0" fontId="1" fillId="5" borderId="45" xfId="0" applyFont="1" applyFill="1" applyBorder="1" applyAlignment="1">
      <alignment vertical="center"/>
    </xf>
    <xf numFmtId="218" fontId="1" fillId="0" borderId="46" xfId="0" applyNumberFormat="1" applyFont="1" applyBorder="1" applyAlignment="1">
      <alignment vertical="center"/>
    </xf>
    <xf numFmtId="218" fontId="1" fillId="0" borderId="47" xfId="0" applyNumberFormat="1" applyFont="1" applyBorder="1" applyAlignment="1">
      <alignment vertical="center"/>
    </xf>
    <xf numFmtId="218" fontId="1" fillId="5" borderId="0" xfId="0" applyNumberFormat="1" applyFont="1" applyFill="1" applyAlignment="1">
      <alignment horizontal="right" vertical="center" wrapText="1"/>
    </xf>
    <xf numFmtId="218" fontId="1" fillId="5" borderId="5" xfId="0" applyNumberFormat="1" applyFont="1" applyFill="1" applyBorder="1" applyAlignment="1">
      <alignment horizontal="right" vertical="center" wrapText="1"/>
    </xf>
    <xf numFmtId="0" fontId="1" fillId="5" borderId="6" xfId="0" applyFont="1" applyFill="1" applyBorder="1" applyAlignment="1">
      <alignment vertical="center" wrapText="1"/>
    </xf>
    <xf numFmtId="218" fontId="1" fillId="5" borderId="7" xfId="0" applyNumberFormat="1" applyFont="1" applyFill="1" applyBorder="1" applyAlignment="1">
      <alignment horizontal="right" vertical="center" wrapText="1"/>
    </xf>
    <xf numFmtId="218" fontId="1" fillId="5" borderId="8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vertical="center"/>
    </xf>
    <xf numFmtId="218" fontId="1" fillId="0" borderId="0" xfId="0" applyNumberFormat="1" applyFont="1" applyAlignment="1">
      <alignment horizontal="right" vertical="center"/>
    </xf>
    <xf numFmtId="218" fontId="7" fillId="0" borderId="0" xfId="0" applyNumberFormat="1" applyFont="1" applyAlignment="1">
      <alignment horizontal="right" vertical="center"/>
    </xf>
    <xf numFmtId="218" fontId="1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218" fontId="1" fillId="0" borderId="7" xfId="0" applyNumberFormat="1" applyFont="1" applyBorder="1" applyAlignment="1">
      <alignment horizontal="right" vertical="center"/>
    </xf>
    <xf numFmtId="218" fontId="1" fillId="0" borderId="8" xfId="0" applyNumberFormat="1" applyFont="1" applyBorder="1" applyAlignment="1">
      <alignment horizontal="right" vertical="center"/>
    </xf>
    <xf numFmtId="218" fontId="4" fillId="0" borderId="7" xfId="1" applyNumberFormat="1" applyFont="1" applyBorder="1"/>
    <xf numFmtId="218" fontId="4" fillId="0" borderId="8" xfId="1" applyNumberFormat="1" applyFont="1" applyBorder="1"/>
    <xf numFmtId="218" fontId="4" fillId="0" borderId="0" xfId="1" applyNumberFormat="1" applyFont="1" applyBorder="1"/>
    <xf numFmtId="218" fontId="4" fillId="0" borderId="5" xfId="1" applyNumberFormat="1" applyFont="1" applyBorder="1"/>
    <xf numFmtId="218" fontId="3" fillId="0" borderId="7" xfId="0" applyNumberFormat="1" applyFont="1" applyBorder="1" applyAlignment="1">
      <alignment horizontal="right"/>
    </xf>
    <xf numFmtId="218" fontId="3" fillId="0" borderId="8" xfId="0" applyNumberFormat="1" applyFont="1" applyBorder="1" applyAlignment="1">
      <alignment horizontal="right"/>
    </xf>
    <xf numFmtId="218" fontId="4" fillId="0" borderId="7" xfId="0" applyNumberFormat="1" applyFont="1" applyBorder="1"/>
    <xf numFmtId="218" fontId="4" fillId="0" borderId="8" xfId="0" applyNumberFormat="1" applyFont="1" applyBorder="1"/>
    <xf numFmtId="218" fontId="4" fillId="0" borderId="0" xfId="0" applyNumberFormat="1" applyFont="1"/>
    <xf numFmtId="218" fontId="4" fillId="0" borderId="5" xfId="0" applyNumberFormat="1" applyFont="1" applyBorder="1"/>
    <xf numFmtId="0" fontId="1" fillId="0" borderId="6" xfId="0" applyFont="1" applyBorder="1" applyAlignment="1">
      <alignment vertical="center" wrapText="1"/>
    </xf>
    <xf numFmtId="218" fontId="4" fillId="0" borderId="7" xfId="1" applyNumberFormat="1" applyFont="1" applyFill="1" applyBorder="1"/>
    <xf numFmtId="218" fontId="4" fillId="0" borderId="8" xfId="1" applyNumberFormat="1" applyFont="1" applyFill="1" applyBorder="1"/>
    <xf numFmtId="218" fontId="1" fillId="0" borderId="0" xfId="1" applyNumberFormat="1" applyFont="1" applyFill="1"/>
    <xf numFmtId="218" fontId="4" fillId="0" borderId="0" xfId="1" applyNumberFormat="1" applyFont="1" applyFill="1"/>
    <xf numFmtId="218" fontId="4" fillId="0" borderId="5" xfId="1" applyNumberFormat="1" applyFont="1" applyFill="1" applyBorder="1"/>
    <xf numFmtId="218" fontId="7" fillId="0" borderId="0" xfId="1" applyNumberFormat="1" applyFont="1" applyFill="1"/>
    <xf numFmtId="218" fontId="4" fillId="0" borderId="8" xfId="0" applyNumberFormat="1" applyFont="1" applyBorder="1" applyAlignment="1">
      <alignment horizontal="right" vertical="center"/>
    </xf>
    <xf numFmtId="218" fontId="4" fillId="0" borderId="5" xfId="0" applyNumberFormat="1" applyFont="1" applyBorder="1" applyAlignment="1">
      <alignment horizontal="right" vertical="center"/>
    </xf>
    <xf numFmtId="0" fontId="6" fillId="0" borderId="43" xfId="0" applyFont="1" applyBorder="1" applyAlignment="1">
      <alignment vertical="center" wrapText="1"/>
    </xf>
    <xf numFmtId="0" fontId="6" fillId="0" borderId="49" xfId="0" applyFont="1" applyBorder="1" applyAlignment="1">
      <alignment vertical="center" wrapText="1"/>
    </xf>
    <xf numFmtId="1" fontId="4" fillId="3" borderId="0" xfId="0" applyNumberFormat="1" applyFont="1" applyFill="1"/>
    <xf numFmtId="0" fontId="4" fillId="3" borderId="6" xfId="0" applyFont="1" applyFill="1" applyBorder="1"/>
    <xf numFmtId="1" fontId="4" fillId="3" borderId="7" xfId="0" applyNumberFormat="1" applyFont="1" applyFill="1" applyBorder="1"/>
    <xf numFmtId="0" fontId="1" fillId="3" borderId="50" xfId="0" applyFont="1" applyFill="1" applyBorder="1" applyAlignment="1">
      <alignment horizontal="right" vertical="center" wrapText="1"/>
    </xf>
    <xf numFmtId="167" fontId="3" fillId="0" borderId="51" xfId="1" applyNumberFormat="1" applyFont="1" applyBorder="1" applyProtection="1"/>
    <xf numFmtId="167" fontId="4" fillId="3" borderId="51" xfId="1" applyNumberFormat="1" applyFont="1" applyFill="1" applyBorder="1" applyProtection="1"/>
    <xf numFmtId="1" fontId="4" fillId="3" borderId="52" xfId="0" applyNumberFormat="1" applyFont="1" applyFill="1" applyBorder="1"/>
    <xf numFmtId="0" fontId="1" fillId="3" borderId="50" xfId="0" applyFont="1" applyFill="1" applyBorder="1" applyAlignment="1">
      <alignment horizontal="right" vertical="center"/>
    </xf>
    <xf numFmtId="167" fontId="7" fillId="2" borderId="53" xfId="1" applyNumberFormat="1" applyFont="1" applyFill="1" applyBorder="1" applyAlignment="1">
      <alignment horizontal="right" vertical="center" wrapText="1"/>
    </xf>
    <xf numFmtId="218" fontId="0" fillId="0" borderId="0" xfId="0" applyNumberFormat="1"/>
    <xf numFmtId="218" fontId="9" fillId="0" borderId="0" xfId="0" applyNumberFormat="1" applyFont="1"/>
    <xf numFmtId="167" fontId="28" fillId="0" borderId="0" xfId="0" applyNumberFormat="1" applyFont="1"/>
    <xf numFmtId="0" fontId="28" fillId="0" borderId="0" xfId="0" applyFont="1"/>
    <xf numFmtId="218" fontId="10" fillId="0" borderId="0" xfId="0" applyNumberFormat="1" applyFont="1"/>
    <xf numFmtId="0" fontId="16" fillId="5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0" borderId="51" xfId="0" applyFont="1" applyBorder="1" applyProtection="1">
      <protection locked="0"/>
    </xf>
    <xf numFmtId="0" fontId="3" fillId="0" borderId="52" xfId="0" applyFont="1" applyBorder="1" applyProtection="1">
      <protection locked="0"/>
    </xf>
    <xf numFmtId="167" fontId="7" fillId="2" borderId="54" xfId="1" applyNumberFormat="1" applyFont="1" applyFill="1" applyBorder="1" applyAlignment="1">
      <alignment horizontal="right" vertical="center" wrapText="1"/>
    </xf>
    <xf numFmtId="218" fontId="14" fillId="0" borderId="0" xfId="0" applyNumberFormat="1" applyFont="1"/>
    <xf numFmtId="0" fontId="7" fillId="3" borderId="50" xfId="0" applyFont="1" applyFill="1" applyBorder="1" applyAlignment="1">
      <alignment vertical="center" wrapText="1"/>
    </xf>
    <xf numFmtId="218" fontId="7" fillId="4" borderId="51" xfId="1" applyNumberFormat="1" applyFont="1" applyFill="1" applyBorder="1" applyAlignment="1">
      <alignment horizontal="right" vertical="center" wrapText="1"/>
    </xf>
    <xf numFmtId="218" fontId="6" fillId="0" borderId="51" xfId="0" applyNumberFormat="1" applyFont="1" applyBorder="1" applyAlignment="1">
      <alignment horizontal="right"/>
    </xf>
    <xf numFmtId="218" fontId="6" fillId="0" borderId="52" xfId="0" applyNumberFormat="1" applyFont="1" applyBorder="1" applyAlignment="1">
      <alignment horizontal="right"/>
    </xf>
    <xf numFmtId="167" fontId="6" fillId="0" borderId="0" xfId="1" applyNumberFormat="1" applyFont="1" applyBorder="1" applyAlignment="1">
      <alignment horizontal="right" vertical="center" wrapText="1"/>
    </xf>
    <xf numFmtId="167" fontId="7" fillId="2" borderId="51" xfId="1" applyNumberFormat="1" applyFont="1" applyFill="1" applyBorder="1" applyAlignment="1">
      <alignment horizontal="right" vertical="center" wrapText="1"/>
    </xf>
    <xf numFmtId="167" fontId="6" fillId="0" borderId="51" xfId="1" applyNumberFormat="1" applyFont="1" applyFill="1" applyBorder="1" applyAlignment="1">
      <alignment horizontal="right" vertical="center" wrapText="1"/>
    </xf>
    <xf numFmtId="167" fontId="6" fillId="0" borderId="51" xfId="1" applyNumberFormat="1" applyFont="1" applyBorder="1" applyAlignment="1">
      <alignment horizontal="right" vertical="center" wrapText="1"/>
    </xf>
    <xf numFmtId="167" fontId="6" fillId="0" borderId="51" xfId="0" applyNumberFormat="1" applyFont="1" applyBorder="1" applyAlignment="1">
      <alignment horizontal="right"/>
    </xf>
    <xf numFmtId="167" fontId="6" fillId="0" borderId="52" xfId="1" applyNumberFormat="1" applyFont="1" applyFill="1" applyBorder="1" applyAlignment="1">
      <alignment horizontal="right" vertical="center" wrapText="1"/>
    </xf>
    <xf numFmtId="219" fontId="7" fillId="2" borderId="51" xfId="1" applyNumberFormat="1" applyFont="1" applyFill="1" applyBorder="1" applyAlignment="1">
      <alignment horizontal="right" vertical="center" wrapText="1"/>
    </xf>
    <xf numFmtId="219" fontId="6" fillId="0" borderId="51" xfId="1" applyNumberFormat="1" applyFont="1" applyFill="1" applyBorder="1" applyAlignment="1">
      <alignment horizontal="right" vertical="center" wrapText="1"/>
    </xf>
    <xf numFmtId="219" fontId="6" fillId="0" borderId="51" xfId="0" applyNumberFormat="1" applyFont="1" applyBorder="1" applyAlignment="1">
      <alignment horizontal="right"/>
    </xf>
    <xf numFmtId="219" fontId="6" fillId="79" borderId="51" xfId="1" applyNumberFormat="1" applyFont="1" applyFill="1" applyBorder="1" applyAlignment="1">
      <alignment horizontal="right" vertical="center" wrapText="1"/>
    </xf>
    <xf numFmtId="219" fontId="6" fillId="0" borderId="52" xfId="0" applyNumberFormat="1" applyFont="1" applyBorder="1" applyAlignment="1">
      <alignment horizontal="right"/>
    </xf>
    <xf numFmtId="167" fontId="2" fillId="0" borderId="0" xfId="1" applyNumberFormat="1" applyFont="1" applyFill="1" applyBorder="1" applyAlignment="1">
      <alignment vertical="center" wrapText="1"/>
    </xf>
    <xf numFmtId="167" fontId="3" fillId="0" borderId="0" xfId="1" applyNumberFormat="1" applyFont="1" applyFill="1" applyBorder="1"/>
    <xf numFmtId="0" fontId="2" fillId="0" borderId="4" xfId="0" applyFont="1" applyBorder="1" applyAlignment="1">
      <alignment horizontal="left" vertical="center"/>
    </xf>
    <xf numFmtId="167" fontId="2" fillId="0" borderId="5" xfId="1" applyNumberFormat="1" applyFont="1" applyFill="1" applyBorder="1" applyAlignment="1">
      <alignment vertical="center" wrapText="1"/>
    </xf>
    <xf numFmtId="167" fontId="3" fillId="0" borderId="5" xfId="1" applyNumberFormat="1" applyFont="1" applyFill="1" applyBorder="1"/>
    <xf numFmtId="0" fontId="2" fillId="0" borderId="6" xfId="0" applyFont="1" applyBorder="1" applyAlignment="1">
      <alignment vertical="center"/>
    </xf>
    <xf numFmtId="167" fontId="3" fillId="0" borderId="7" xfId="1" applyNumberFormat="1" applyFont="1" applyBorder="1"/>
    <xf numFmtId="167" fontId="3" fillId="0" borderId="8" xfId="1" applyNumberFormat="1" applyFont="1" applyBorder="1"/>
    <xf numFmtId="167" fontId="6" fillId="0" borderId="5" xfId="1" applyNumberFormat="1" applyFont="1" applyFill="1" applyBorder="1" applyAlignment="1">
      <alignment horizontal="right" vertical="center" wrapText="1"/>
    </xf>
    <xf numFmtId="220" fontId="3" fillId="0" borderId="0" xfId="1" applyNumberFormat="1" applyFont="1" applyBorder="1"/>
    <xf numFmtId="220" fontId="3" fillId="0" borderId="5" xfId="1" applyNumberFormat="1" applyFont="1" applyBorder="1"/>
    <xf numFmtId="168" fontId="3" fillId="0" borderId="0" xfId="1" applyNumberFormat="1" applyFont="1" applyBorder="1"/>
    <xf numFmtId="168" fontId="3" fillId="0" borderId="5" xfId="1" applyNumberFormat="1" applyFont="1" applyBorder="1"/>
    <xf numFmtId="0" fontId="1" fillId="2" borderId="0" xfId="0" applyFont="1" applyFill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220" fontId="3" fillId="0" borderId="4" xfId="1" applyNumberFormat="1" applyFont="1" applyBorder="1"/>
    <xf numFmtId="0" fontId="3" fillId="0" borderId="5" xfId="0" applyFont="1" applyBorder="1"/>
    <xf numFmtId="0" fontId="3" fillId="0" borderId="7" xfId="0" applyFont="1" applyBorder="1"/>
    <xf numFmtId="0" fontId="3" fillId="80" borderId="0" xfId="0" applyFont="1" applyFill="1"/>
    <xf numFmtId="220" fontId="3" fillId="79" borderId="0" xfId="1" applyNumberFormat="1" applyFont="1" applyFill="1" applyBorder="1"/>
    <xf numFmtId="0" fontId="3" fillId="79" borderId="5" xfId="0" applyFont="1" applyFill="1" applyBorder="1"/>
    <xf numFmtId="0" fontId="3" fillId="79" borderId="8" xfId="0" applyFont="1" applyFill="1" applyBorder="1"/>
    <xf numFmtId="0" fontId="2" fillId="0" borderId="0" xfId="0" applyFont="1" applyAlignment="1" applyProtection="1">
      <alignment horizontal="left" vertical="center" wrapText="1"/>
      <protection locked="0"/>
    </xf>
    <xf numFmtId="218" fontId="4" fillId="6" borderId="5" xfId="1" applyNumberFormat="1" applyFont="1" applyFill="1" applyBorder="1"/>
    <xf numFmtId="218" fontId="1" fillId="6" borderId="5" xfId="0" applyNumberFormat="1" applyFont="1" applyFill="1" applyBorder="1" applyAlignment="1">
      <alignment horizontal="right" vertical="center"/>
    </xf>
    <xf numFmtId="218" fontId="4" fillId="6" borderId="5" xfId="0" applyNumberFormat="1" applyFont="1" applyFill="1" applyBorder="1" applyAlignment="1">
      <alignment horizontal="right" vertical="center"/>
    </xf>
    <xf numFmtId="221" fontId="3" fillId="0" borderId="0" xfId="1" applyNumberFormat="1" applyFont="1"/>
    <xf numFmtId="43" fontId="10" fillId="0" borderId="0" xfId="1" applyFont="1"/>
    <xf numFmtId="43" fontId="0" fillId="0" borderId="0" xfId="1" applyFont="1"/>
    <xf numFmtId="167" fontId="7" fillId="3" borderId="54" xfId="0" applyNumberFormat="1" applyFont="1" applyFill="1" applyBorder="1" applyAlignment="1">
      <alignment horizontal="right"/>
    </xf>
    <xf numFmtId="221" fontId="0" fillId="0" borderId="0" xfId="1" applyNumberFormat="1" applyFont="1"/>
    <xf numFmtId="167" fontId="7" fillId="2" borderId="0" xfId="1" applyNumberFormat="1" applyFont="1" applyFill="1" applyBorder="1" applyAlignment="1">
      <alignment vertical="center" wrapText="1"/>
    </xf>
    <xf numFmtId="218" fontId="6" fillId="6" borderId="5" xfId="1" applyNumberFormat="1" applyFont="1" applyFill="1" applyBorder="1"/>
    <xf numFmtId="218" fontId="3" fillId="6" borderId="5" xfId="1" applyNumberFormat="1" applyFont="1" applyFill="1" applyBorder="1"/>
    <xf numFmtId="219" fontId="6" fillId="6" borderId="5" xfId="1" applyNumberFormat="1" applyFont="1" applyFill="1" applyBorder="1" applyAlignment="1">
      <alignment vertical="center" wrapText="1"/>
    </xf>
    <xf numFmtId="219" fontId="0" fillId="0" borderId="0" xfId="0" applyNumberFormat="1"/>
    <xf numFmtId="0" fontId="3" fillId="81" borderId="5" xfId="0" applyFont="1" applyFill="1" applyBorder="1"/>
    <xf numFmtId="220" fontId="3" fillId="81" borderId="5" xfId="1" applyNumberFormat="1" applyFont="1" applyFill="1" applyBorder="1"/>
    <xf numFmtId="218" fontId="3" fillId="81" borderId="44" xfId="1" applyNumberFormat="1" applyFont="1" applyFill="1" applyBorder="1" applyAlignment="1" applyProtection="1">
      <alignment horizontal="right"/>
      <protection locked="0"/>
    </xf>
    <xf numFmtId="218" fontId="3" fillId="6" borderId="44" xfId="1" applyNumberFormat="1" applyFont="1" applyFill="1" applyBorder="1" applyAlignment="1" applyProtection="1">
      <alignment horizontal="right"/>
      <protection locked="0"/>
    </xf>
    <xf numFmtId="218" fontId="2" fillId="81" borderId="5" xfId="0" applyNumberFormat="1" applyFont="1" applyFill="1" applyBorder="1" applyAlignment="1">
      <alignment horizontal="right" vertical="center"/>
    </xf>
    <xf numFmtId="218" fontId="17" fillId="81" borderId="44" xfId="0" applyNumberFormat="1" applyFont="1" applyFill="1" applyBorder="1" applyAlignment="1">
      <alignment horizontal="right" vertical="center"/>
    </xf>
    <xf numFmtId="218" fontId="16" fillId="81" borderId="44" xfId="0" applyNumberFormat="1" applyFont="1" applyFill="1" applyBorder="1" applyAlignment="1">
      <alignment horizontal="right" vertical="center"/>
    </xf>
    <xf numFmtId="218" fontId="2" fillId="81" borderId="44" xfId="0" applyNumberFormat="1" applyFont="1" applyFill="1" applyBorder="1" applyAlignment="1" applyProtection="1">
      <alignment horizontal="right" vertical="center"/>
      <protection locked="0"/>
    </xf>
    <xf numFmtId="218" fontId="2" fillId="81" borderId="44" xfId="0" applyNumberFormat="1" applyFont="1" applyFill="1" applyBorder="1" applyAlignment="1">
      <alignment vertical="center"/>
    </xf>
    <xf numFmtId="218" fontId="1" fillId="81" borderId="44" xfId="0" applyNumberFormat="1" applyFont="1" applyFill="1" applyBorder="1" applyAlignment="1">
      <alignment vertical="center"/>
    </xf>
    <xf numFmtId="218" fontId="6" fillId="81" borderId="44" xfId="0" applyNumberFormat="1" applyFont="1" applyFill="1" applyBorder="1" applyAlignment="1">
      <alignment vertical="center"/>
    </xf>
    <xf numFmtId="218" fontId="6" fillId="81" borderId="44" xfId="0" applyNumberFormat="1" applyFont="1" applyFill="1" applyBorder="1" applyAlignment="1" applyProtection="1">
      <alignment horizontal="right" vertical="center"/>
      <protection locked="0"/>
    </xf>
    <xf numFmtId="218" fontId="2" fillId="81" borderId="44" xfId="0" applyNumberFormat="1" applyFont="1" applyFill="1" applyBorder="1" applyAlignment="1">
      <alignment horizontal="right" vertical="center" wrapText="1"/>
    </xf>
    <xf numFmtId="218" fontId="4" fillId="81" borderId="0" xfId="1" applyNumberFormat="1" applyFont="1" applyFill="1" applyBorder="1"/>
    <xf numFmtId="218" fontId="3" fillId="81" borderId="0" xfId="1" applyNumberFormat="1" applyFont="1" applyFill="1" applyBorder="1"/>
    <xf numFmtId="220" fontId="3" fillId="0" borderId="5" xfId="1" applyNumberFormat="1" applyFont="1" applyFill="1" applyBorder="1"/>
    <xf numFmtId="220" fontId="3" fillId="0" borderId="0" xfId="1" applyNumberFormat="1" applyFont="1" applyFill="1" applyBorder="1"/>
    <xf numFmtId="220" fontId="3" fillId="0" borderId="7" xfId="1" applyNumberFormat="1" applyFont="1" applyFill="1" applyBorder="1"/>
    <xf numFmtId="220" fontId="3" fillId="0" borderId="8" xfId="1" applyNumberFormat="1" applyFont="1" applyFill="1" applyBorder="1"/>
    <xf numFmtId="0" fontId="0" fillId="79" borderId="0" xfId="0" applyFill="1"/>
    <xf numFmtId="0" fontId="0" fillId="79" borderId="7" xfId="0" applyFill="1" applyBorder="1"/>
    <xf numFmtId="0" fontId="138" fillId="0" borderId="0" xfId="0" applyFont="1"/>
    <xf numFmtId="198" fontId="3" fillId="0" borderId="5" xfId="0" applyNumberFormat="1" applyFont="1" applyBorder="1"/>
    <xf numFmtId="167" fontId="3" fillId="0" borderId="0" xfId="1" applyNumberFormat="1" applyFont="1"/>
    <xf numFmtId="167" fontId="3" fillId="0" borderId="44" xfId="1" applyNumberFormat="1" applyFont="1" applyBorder="1"/>
    <xf numFmtId="167" fontId="128" fillId="2" borderId="46" xfId="1" applyNumberFormat="1" applyFont="1" applyFill="1" applyBorder="1"/>
    <xf numFmtId="167" fontId="128" fillId="2" borderId="47" xfId="1" applyNumberFormat="1" applyFont="1" applyFill="1" applyBorder="1"/>
    <xf numFmtId="218" fontId="3" fillId="79" borderId="0" xfId="0" applyNumberFormat="1" applyFont="1" applyFill="1"/>
    <xf numFmtId="218" fontId="3" fillId="79" borderId="7" xfId="0" applyNumberFormat="1" applyFont="1" applyFill="1" applyBorder="1"/>
    <xf numFmtId="218" fontId="3" fillId="81" borderId="7" xfId="1" applyNumberFormat="1" applyFont="1" applyFill="1" applyBorder="1"/>
    <xf numFmtId="218" fontId="2" fillId="81" borderId="0" xfId="0" applyNumberFormat="1" applyFont="1" applyFill="1" applyAlignment="1">
      <alignment horizontal="right" vertical="center"/>
    </xf>
    <xf numFmtId="218" fontId="1" fillId="81" borderId="0" xfId="0" applyNumberFormat="1" applyFont="1" applyFill="1" applyAlignment="1">
      <alignment horizontal="right" vertical="center"/>
    </xf>
    <xf numFmtId="0" fontId="3" fillId="81" borderId="0" xfId="0" applyFont="1" applyFill="1" applyProtection="1">
      <protection locked="0"/>
    </xf>
    <xf numFmtId="0" fontId="0" fillId="81" borderId="7" xfId="0" applyFill="1" applyBorder="1"/>
    <xf numFmtId="0" fontId="0" fillId="81" borderId="0" xfId="0" applyFill="1"/>
    <xf numFmtId="167" fontId="2" fillId="81" borderId="0" xfId="1" applyNumberFormat="1" applyFont="1" applyFill="1" applyBorder="1" applyAlignment="1">
      <alignment vertical="center" wrapText="1"/>
    </xf>
    <xf numFmtId="167" fontId="3" fillId="81" borderId="0" xfId="1" applyNumberFormat="1" applyFont="1" applyFill="1" applyBorder="1"/>
    <xf numFmtId="167" fontId="3" fillId="81" borderId="7" xfId="1" applyNumberFormat="1" applyFont="1" applyFill="1" applyBorder="1"/>
    <xf numFmtId="218" fontId="3" fillId="81" borderId="0" xfId="0" applyNumberFormat="1" applyFont="1" applyFill="1" applyProtection="1">
      <protection locked="0"/>
    </xf>
    <xf numFmtId="218" fontId="7" fillId="81" borderId="0" xfId="0" applyNumberFormat="1" applyFont="1" applyFill="1" applyAlignment="1">
      <alignment horizontal="right" vertical="center"/>
    </xf>
    <xf numFmtId="218" fontId="1" fillId="81" borderId="7" xfId="0" applyNumberFormat="1" applyFont="1" applyFill="1" applyBorder="1" applyAlignment="1">
      <alignment horizontal="right" vertical="center"/>
    </xf>
    <xf numFmtId="218" fontId="6" fillId="81" borderId="0" xfId="0" applyNumberFormat="1" applyFont="1" applyFill="1" applyAlignment="1">
      <alignment horizontal="right" vertical="center"/>
    </xf>
    <xf numFmtId="167" fontId="130" fillId="81" borderId="0" xfId="1" applyNumberFormat="1" applyFont="1" applyFill="1" applyBorder="1" applyAlignment="1" applyProtection="1">
      <alignment horizontal="right" vertical="center" wrapText="1"/>
      <protection locked="0"/>
    </xf>
    <xf numFmtId="167" fontId="6" fillId="81" borderId="0" xfId="1" applyNumberFormat="1" applyFont="1" applyFill="1" applyBorder="1" applyAlignment="1" applyProtection="1">
      <alignment horizontal="right" vertical="center" wrapText="1"/>
      <protection locked="0"/>
    </xf>
    <xf numFmtId="167" fontId="3" fillId="81" borderId="0" xfId="1" applyNumberFormat="1" applyFont="1" applyFill="1" applyBorder="1" applyProtection="1">
      <protection locked="0"/>
    </xf>
    <xf numFmtId="0" fontId="3" fillId="81" borderId="7" xfId="0" applyFont="1" applyFill="1" applyBorder="1" applyProtection="1">
      <protection locked="0"/>
    </xf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3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31" fillId="0" borderId="0" xfId="0" applyFont="1" applyAlignment="1">
      <alignment horizontal="center" vertical="top"/>
    </xf>
    <xf numFmtId="0" fontId="0" fillId="0" borderId="0" xfId="0"/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14" fillId="0" borderId="0" xfId="0" applyFont="1"/>
    <xf numFmtId="0" fontId="15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</cellXfs>
  <cellStyles count="500">
    <cellStyle name="1 indent" xfId="78" xr:uid="{F55EE1AD-D58C-4821-BEF1-CD64BF97F0BD}"/>
    <cellStyle name="2 indents" xfId="79" xr:uid="{C13C2608-E983-47DF-9933-F2D2F114A3AE}"/>
    <cellStyle name="20% - Accent1" xfId="18" builtinId="30" customBuiltin="1"/>
    <cellStyle name="20% - Accent1 2" xfId="81" xr:uid="{65FAB867-4D9E-4B95-9346-07154147DD5C}"/>
    <cellStyle name="20% - Accent1 3" xfId="80" xr:uid="{0A83CA47-3F32-447E-9C45-D0E8AE2072C6}"/>
    <cellStyle name="20% - Accent2" xfId="21" builtinId="34" customBuiltin="1"/>
    <cellStyle name="20% - Accent2 2" xfId="83" xr:uid="{7BD6F89A-8F0A-40F1-A3B2-29FB532E7327}"/>
    <cellStyle name="20% - Accent2 3" xfId="82" xr:uid="{214670E7-77C5-4CF8-9570-E828702A06CB}"/>
    <cellStyle name="20% - Accent3" xfId="24" builtinId="38" customBuiltin="1"/>
    <cellStyle name="20% - Accent3 2" xfId="85" xr:uid="{77E63AC8-347A-4929-96BC-C70185957A19}"/>
    <cellStyle name="20% - Accent3 3" xfId="84" xr:uid="{0BE41AC0-342C-45D7-A5CD-2DEB2FFD1FAC}"/>
    <cellStyle name="20% - Accent4" xfId="27" builtinId="42" customBuiltin="1"/>
    <cellStyle name="20% - Accent4 2" xfId="87" xr:uid="{762453CD-6A29-4DCA-BBB4-52BDB2F22991}"/>
    <cellStyle name="20% - Accent4 3" xfId="86" xr:uid="{198EF4FC-E403-485B-B2E1-A28C0E6954D4}"/>
    <cellStyle name="20% - Accent5" xfId="30" builtinId="46" customBuiltin="1"/>
    <cellStyle name="20% - Accent5 2" xfId="89" xr:uid="{5C37366B-FC2C-41FE-A24F-402A7D1AF085}"/>
    <cellStyle name="20% - Accent5 3" xfId="88" xr:uid="{14B6A95D-82B7-4EF7-8E02-F212DDDEE63E}"/>
    <cellStyle name="20% - Accent6" xfId="33" builtinId="50" customBuiltin="1"/>
    <cellStyle name="20% - Accent6 2" xfId="91" xr:uid="{A9DE9C3F-2E52-4C58-AFF9-5535DE12E54D}"/>
    <cellStyle name="20% - Accent6 3" xfId="90" xr:uid="{E62BBCF1-0962-45B1-8D10-FCB776CA70D9}"/>
    <cellStyle name="20% - Énfasis1" xfId="189" xr:uid="{DEA01BAE-6EA5-460F-9D82-B01B6D184FDF}"/>
    <cellStyle name="20% - Énfasis2" xfId="190" xr:uid="{9C60501A-9926-49C5-810B-24C235A64818}"/>
    <cellStyle name="20% - Énfasis3" xfId="191" xr:uid="{E2F7C02F-2BEA-45CF-B304-32C126D2F40C}"/>
    <cellStyle name="20% - Énfasis4" xfId="192" xr:uid="{A30ACC61-A87F-41C1-9D59-4C85CBEA275F}"/>
    <cellStyle name="20% - Énfasis5" xfId="193" xr:uid="{C1CBEFF1-ED05-40A0-824E-F81950B33F04}"/>
    <cellStyle name="20% - Énfasis6" xfId="194" xr:uid="{FF12BE67-F953-4E5C-8A96-78A5D5DE526A}"/>
    <cellStyle name="3 indents" xfId="92" xr:uid="{1C50EC5A-8D95-45D2-A0BF-AA1DDA50A073}"/>
    <cellStyle name="4 indents" xfId="93" xr:uid="{425C7096-CFF6-4CD4-9D6C-7B9DBFE351D6}"/>
    <cellStyle name="40% - Accent1" xfId="19" builtinId="31" customBuiltin="1"/>
    <cellStyle name="40% - Accent1 2" xfId="95" xr:uid="{91252735-2357-406D-A081-6E1A31257B9B}"/>
    <cellStyle name="40% - Accent1 3" xfId="94" xr:uid="{2668DFD2-1734-43CC-AC09-A3E0B44CFA4D}"/>
    <cellStyle name="40% - Accent2" xfId="22" builtinId="35" customBuiltin="1"/>
    <cellStyle name="40% - Accent2 2" xfId="97" xr:uid="{70259F02-E260-4292-A5CD-C7F9F8A2A85C}"/>
    <cellStyle name="40% - Accent2 3" xfId="96" xr:uid="{66B65579-46DF-488A-8D55-92E45F47490C}"/>
    <cellStyle name="40% - Accent3" xfId="25" builtinId="39" customBuiltin="1"/>
    <cellStyle name="40% - Accent3 2" xfId="99" xr:uid="{285BD22C-66FE-4836-AD9E-E83EE43FACA1}"/>
    <cellStyle name="40% - Accent3 3" xfId="98" xr:uid="{3D9B63B9-5A90-41CD-A4CC-A94AA3D25903}"/>
    <cellStyle name="40% - Accent4" xfId="28" builtinId="43" customBuiltin="1"/>
    <cellStyle name="40% - Accent4 2" xfId="101" xr:uid="{E3DB572A-4B42-4879-89E5-8D9217ECCE96}"/>
    <cellStyle name="40% - Accent4 3" xfId="100" xr:uid="{6F989CCC-B907-4C31-B418-434D0AA5534E}"/>
    <cellStyle name="40% - Accent5" xfId="31" builtinId="47" customBuiltin="1"/>
    <cellStyle name="40% - Accent5 2" xfId="103" xr:uid="{0F28798F-E25D-4DC4-9398-A4AB0058E67C}"/>
    <cellStyle name="40% - Accent5 3" xfId="102" xr:uid="{47C7D80A-63C8-4F03-8CCF-B6B0990637DE}"/>
    <cellStyle name="40% - Accent6" xfId="34" builtinId="51" customBuiltin="1"/>
    <cellStyle name="40% - Accent6 2" xfId="105" xr:uid="{C33FBA26-ACAE-4DC0-976C-9541D26F1339}"/>
    <cellStyle name="40% - Accent6 3" xfId="104" xr:uid="{ADEB62D0-E969-4B63-ADCD-EC127FA71D31}"/>
    <cellStyle name="40% - Énfasis1" xfId="195" xr:uid="{AA309DBF-B1D0-40AC-8FF3-0DFB5910B76C}"/>
    <cellStyle name="40% - Énfasis2" xfId="196" xr:uid="{04FF561B-BB33-4394-B57C-C234BB584AE0}"/>
    <cellStyle name="40% - Énfasis3" xfId="197" xr:uid="{A489416A-9094-4180-A4E0-0CA091A99E99}"/>
    <cellStyle name="40% - Énfasis4" xfId="198" xr:uid="{9D57BB43-4893-4008-B5B1-DAA6E718DB8B}"/>
    <cellStyle name="40% - Énfasis5" xfId="199" xr:uid="{B1D26D4D-4A2C-4FC7-A3EF-2F38C84B0CD6}"/>
    <cellStyle name="40% - Énfasis6" xfId="200" xr:uid="{C08C338D-059E-4011-9374-4114859CDD76}"/>
    <cellStyle name="5 indents" xfId="106" xr:uid="{5808A0D2-6AA0-4DFE-8385-14B5ABD96890}"/>
    <cellStyle name="60% - Accent1 2" xfId="201" xr:uid="{10EE74DF-93BF-4BEA-8202-74A7FDCAFA34}"/>
    <cellStyle name="60% - Accent1 3" xfId="107" xr:uid="{4EBEB936-D5EB-484A-8FE0-DE234C1ADB43}"/>
    <cellStyle name="60% - Accent1 4" xfId="41" xr:uid="{9C0E7CCF-894D-4327-A397-F4BF4A7F644D}"/>
    <cellStyle name="60% - Accent2 2" xfId="202" xr:uid="{65177140-C7ED-4991-B6E0-CA6083C44283}"/>
    <cellStyle name="60% - Accent2 3" xfId="108" xr:uid="{3A7F5AE7-222B-4A7C-87FF-59245D650A37}"/>
    <cellStyle name="60% - Accent2 4" xfId="42" xr:uid="{531E5BC6-1009-4D6D-9D9E-8B720459A121}"/>
    <cellStyle name="60% - Accent3 2" xfId="203" xr:uid="{921AC1A7-DF5B-4E84-8040-294020EAC194}"/>
    <cellStyle name="60% - Accent3 3" xfId="109" xr:uid="{2D0864B1-78D0-4565-9AC3-70BE689250B1}"/>
    <cellStyle name="60% - Accent3 4" xfId="43" xr:uid="{ECEBD283-3B8B-4A42-8062-7888B1969C26}"/>
    <cellStyle name="60% - Accent4 2" xfId="204" xr:uid="{1503EC7D-6024-4790-8DCE-28E413623290}"/>
    <cellStyle name="60% - Accent4 3" xfId="110" xr:uid="{F0E26C92-CD8A-44B1-BAB4-9F8E80DE4AEE}"/>
    <cellStyle name="60% - Accent4 4" xfId="44" xr:uid="{F20F5416-6317-4232-81F2-C0ED546B52B6}"/>
    <cellStyle name="60% - Accent5 2" xfId="205" xr:uid="{A8A68924-8702-4F73-9B85-BDAA7CDE1C3C}"/>
    <cellStyle name="60% - Accent5 3" xfId="111" xr:uid="{6DD98D41-A245-431C-9363-697B63E8F08F}"/>
    <cellStyle name="60% - Accent5 4" xfId="45" xr:uid="{80BCBF56-32FE-4DA0-8AF1-255D5BAB92E0}"/>
    <cellStyle name="60% - Accent6 2" xfId="206" xr:uid="{DC679AB9-F501-4783-9E80-7F97158B580B}"/>
    <cellStyle name="60% - Accent6 3" xfId="112" xr:uid="{BE80F679-BB0C-44D1-98A4-7BB46CB8DFD9}"/>
    <cellStyle name="60% - Accent6 4" xfId="46" xr:uid="{D9F9B8FC-F658-4622-BEF1-1DCAD1908E07}"/>
    <cellStyle name="60% - Énfasis1" xfId="207" xr:uid="{71A19070-5BA0-4EE8-AEB9-3FBA0B54D30D}"/>
    <cellStyle name="60% - Énfasis2" xfId="208" xr:uid="{D92BF3B3-069F-4492-BC18-DCD2B6D113F6}"/>
    <cellStyle name="60% - Énfasis3" xfId="209" xr:uid="{7AB5FAFF-0289-41EC-B942-1C9A2DF91E7F}"/>
    <cellStyle name="60% - Énfasis4" xfId="210" xr:uid="{5619EBAA-C06B-478A-A3E8-11BE3B0D6CF6}"/>
    <cellStyle name="60% - Énfasis5" xfId="211" xr:uid="{65F33375-98DB-49F6-97B4-76C650B929EE}"/>
    <cellStyle name="60% - Énfasis6" xfId="212" xr:uid="{288768A7-E342-4C01-A589-732C66403505}"/>
    <cellStyle name="Accent1" xfId="17" builtinId="29" customBuiltin="1"/>
    <cellStyle name="Accent1 2" xfId="213" xr:uid="{AB4B6869-1713-4D52-AB6B-CD6EB7EF02E0}"/>
    <cellStyle name="Accent1 3" xfId="113" xr:uid="{6A0FA903-8A8A-4EE5-B391-255BEA277C34}"/>
    <cellStyle name="Accent2" xfId="20" builtinId="33" customBuiltin="1"/>
    <cellStyle name="Accent2 2" xfId="214" xr:uid="{46195BFA-5A06-4DA1-AF46-05E3DAFB5FA7}"/>
    <cellStyle name="Accent2 3" xfId="114" xr:uid="{A723DB4C-8855-4B26-AA36-5748F01E51E5}"/>
    <cellStyle name="Accent3" xfId="23" builtinId="37" customBuiltin="1"/>
    <cellStyle name="Accent3 2" xfId="215" xr:uid="{06894EF1-231D-4791-8ED9-E514641FF722}"/>
    <cellStyle name="Accent3 3" xfId="115" xr:uid="{51DB8747-953D-4B8E-9190-11A2B76FBC6C}"/>
    <cellStyle name="Accent4" xfId="26" builtinId="41" customBuiltin="1"/>
    <cellStyle name="Accent4 2" xfId="216" xr:uid="{F3BC8C90-E3CF-4401-B4F8-EC004EB7C6A9}"/>
    <cellStyle name="Accent4 3" xfId="116" xr:uid="{DDF7CC2E-D05F-4F86-A685-DF84292BAF49}"/>
    <cellStyle name="Accent5" xfId="29" builtinId="45" customBuiltin="1"/>
    <cellStyle name="Accent5 2" xfId="217" xr:uid="{14AD4E17-2CF8-4A5B-BD44-E707CA50669F}"/>
    <cellStyle name="Accent5 3" xfId="117" xr:uid="{3315C56E-AD0F-4E3B-8DC6-2AAB3A211A9D}"/>
    <cellStyle name="Accent6" xfId="32" builtinId="49" customBuiltin="1"/>
    <cellStyle name="Accent6 2" xfId="218" xr:uid="{D71FFDCD-76AF-4A65-B7A9-DA01FB34D100}"/>
    <cellStyle name="Accent6 3" xfId="118" xr:uid="{146614A3-3A71-4419-A62C-1FB3B5857634}"/>
    <cellStyle name="Bad" xfId="8" builtinId="27" customBuiltin="1"/>
    <cellStyle name="Bad 2" xfId="219" xr:uid="{13DE8DED-2B19-4C6E-B4F9-334E9E40626D}"/>
    <cellStyle name="Bad 3" xfId="290" xr:uid="{AE43ACA1-15F6-49B9-BDFB-093BFE161B41}"/>
    <cellStyle name="Bad 4" xfId="119" xr:uid="{DCAC52CC-BF0D-4BAF-A5B8-070D5C0465A9}"/>
    <cellStyle name="Bold 11" xfId="49" xr:uid="{4F8A5377-8421-4557-AC51-2635855B24A0}"/>
    <cellStyle name="Bold 11 2" xfId="458" xr:uid="{F70F7F90-8E2E-4C68-A9B6-F194E5D54117}"/>
    <cellStyle name="Buena" xfId="220" xr:uid="{E85DB38C-6D68-4B36-A16F-E15288467C39}"/>
    <cellStyle name="Cabe‡alho 1" xfId="291" xr:uid="{78FC4C8D-7205-4447-A7B9-4CBD63EA94C0}"/>
    <cellStyle name="Cabe‡alho 2" xfId="292" xr:uid="{03E600FD-2DCF-4FD5-802C-BA0E6348B293}"/>
    <cellStyle name="Cabecera 1" xfId="293" xr:uid="{C17DA5DB-A09E-4381-B0E4-90E41CF160C7}"/>
    <cellStyle name="Cabecera 2" xfId="294" xr:uid="{608896FF-54F4-4439-BBD4-81C02112B235}"/>
    <cellStyle name="Calculation" xfId="11" builtinId="22" customBuiltin="1"/>
    <cellStyle name="Calculation 2" xfId="221" xr:uid="{98BA4F8D-E9D7-4E88-99EE-A63665BDD4A4}"/>
    <cellStyle name="Calculation 3" xfId="295" xr:uid="{EC4D6102-73CD-4CF9-B25F-4160B7E1154D}"/>
    <cellStyle name="Calculation 4" xfId="120" xr:uid="{16ECCA1E-EAA0-47F1-A2AB-F16ED49E713B}"/>
    <cellStyle name="Cálculo" xfId="222" xr:uid="{87CD27F0-2830-4DAF-A4F3-663326FC5F78}"/>
    <cellStyle name="Celda de comprobación" xfId="223" xr:uid="{AB9575A8-2504-4938-B61E-4D1C7F496752}"/>
    <cellStyle name="Celda vinculada" xfId="224" xr:uid="{B972298E-6668-452F-83CF-03FB29E292A8}"/>
    <cellStyle name="Check Cell" xfId="13" builtinId="23" customBuiltin="1"/>
    <cellStyle name="Check Cell 2" xfId="225" xr:uid="{8FC0FE20-0B46-4618-8784-4F259D5AD000}"/>
    <cellStyle name="Check Cell 3" xfId="296" xr:uid="{DEF74938-56F7-43E4-A21F-34A2A157CAAF}"/>
    <cellStyle name="Check Cell 4" xfId="121" xr:uid="{7023AC2F-15F6-4821-A0FE-C326C6687FA5}"/>
    <cellStyle name="Clive" xfId="297" xr:uid="{CD11D6CE-83E2-41DE-BECE-66569D534B1E}"/>
    <cellStyle name="clsAltData" xfId="122" xr:uid="{C4581661-398E-40F2-B6DC-DAEC566A9F00}"/>
    <cellStyle name="clsAltMRVData" xfId="123" xr:uid="{E1BE3034-2126-4FEE-AFF4-5F9D161AA76C}"/>
    <cellStyle name="clsBlank" xfId="124" xr:uid="{F9B313E9-CC37-42C5-8A78-554DCBDBD8FA}"/>
    <cellStyle name="clsColumnHeader" xfId="125" xr:uid="{79EB0EDE-62E3-412C-AAD1-C49A341A17DB}"/>
    <cellStyle name="clsData" xfId="126" xr:uid="{4F87170F-71A2-4A87-8626-047D3F2B8BAB}"/>
    <cellStyle name="clsDefault" xfId="127" xr:uid="{F09968A8-AF24-4DF0-8733-3F162E065F56}"/>
    <cellStyle name="clsFooter" xfId="128" xr:uid="{1D5ABF83-2B4F-466E-A1B8-03F9E068BCA2}"/>
    <cellStyle name="clsIndexTableData" xfId="298" xr:uid="{74491A49-E418-4585-B77F-AA7F2C6B2382}"/>
    <cellStyle name="clsIndexTableHdr" xfId="299" xr:uid="{E85F5910-1268-4E3C-9B61-207D8AD965BA}"/>
    <cellStyle name="clsIndexTableTitle" xfId="129" xr:uid="{44C10225-9FF4-4BF9-8DF9-F445D00DC4B0}"/>
    <cellStyle name="clsMRVData" xfId="130" xr:uid="{DF623AFA-FD9D-45F8-AF98-79E8510D3C05}"/>
    <cellStyle name="clsReportFooter" xfId="131" xr:uid="{28A210D6-07D7-463A-8641-CE7B272A42F3}"/>
    <cellStyle name="clsReportHeader" xfId="132" xr:uid="{26CC91A8-7ACB-4856-9E11-19D9B6E06684}"/>
    <cellStyle name="clsRowHeader" xfId="133" xr:uid="{E503694F-8AB2-4358-83A9-4A16342E66BA}"/>
    <cellStyle name="clsScale" xfId="134" xr:uid="{098C1F18-2CEB-4A90-BBEE-064482EB70DD}"/>
    <cellStyle name="clsSection" xfId="135" xr:uid="{99053DAE-FEF2-40B1-ACB0-5A52404CA305}"/>
    <cellStyle name="Comma" xfId="1" builtinId="3"/>
    <cellStyle name="Comma 2" xfId="38" xr:uid="{7ED0319D-8314-40FA-8E28-C89ECE2D0C85}"/>
    <cellStyle name="Comma 2 2" xfId="180" xr:uid="{C04AEEA7-291D-41E6-889A-B5D119C3B42F}"/>
    <cellStyle name="Comma 2 3" xfId="75" xr:uid="{C1F8A2D2-4EB2-41AC-BF89-B674CD57BE90}"/>
    <cellStyle name="Comma 2 4" xfId="459" xr:uid="{54A1F5C4-FC79-49AC-99C7-A96062BFBDB9}"/>
    <cellStyle name="Comma 2 5" xfId="480" xr:uid="{3C8E2D3A-5C87-43FF-8CA9-C41620CA4114}"/>
    <cellStyle name="Comma 2 6" xfId="498" xr:uid="{0035FB9E-0891-44D3-B708-93AE8D1370CC}"/>
    <cellStyle name="Comma 3" xfId="76" xr:uid="{3294D52F-A5C4-4FED-BC21-8181C947CF54}"/>
    <cellStyle name="Comma 4" xfId="454" xr:uid="{6595C271-2783-4E9B-B259-3EF2C469C4AA}"/>
    <cellStyle name="Comma 4 2" xfId="478" xr:uid="{34AE908A-3EE2-42BF-BAE9-25A1E5CF8755}"/>
    <cellStyle name="Comma 5" xfId="483" xr:uid="{3F7B5D46-84EA-41AE-9628-99025EC9FB09}"/>
    <cellStyle name="Comma 6" xfId="499" xr:uid="{13C1E23E-2119-4AFF-8315-A41E3DCA6D51}"/>
    <cellStyle name="Comma0" xfId="300" xr:uid="{9EC7B667-67A2-4446-A9FD-4E8442A90D9B}"/>
    <cellStyle name="Currency0" xfId="301" xr:uid="{4AA18B77-61E9-4E51-9FD6-92C61122B897}"/>
    <cellStyle name="Data" xfId="302" xr:uid="{7BE18AFC-895A-4381-8C3D-75B6108F7A8D}"/>
    <cellStyle name="Date" xfId="50" xr:uid="{028E77D3-26B1-4835-B610-6CAF91338D9A}"/>
    <cellStyle name="Date 2" xfId="181" xr:uid="{5C56D146-DA94-44FA-A01A-FCFAB5B3EA7A}"/>
    <cellStyle name="Date 2 2" xfId="460" xr:uid="{BC6C3580-A5E9-4CE9-B978-E22F86E6E990}"/>
    <cellStyle name="Date 3" xfId="260" xr:uid="{F95CCE62-FBD7-43C5-85E6-989A1B12F061}"/>
    <cellStyle name="Date 4" xfId="169" xr:uid="{C48DFC6F-D6AA-40C4-B4F1-F4461E876499}"/>
    <cellStyle name="Date 5" xfId="136" xr:uid="{0B5483AD-107A-4A34-BAA4-724333C22D27}"/>
    <cellStyle name="Date_DHO-SF" xfId="287" xr:uid="{CC56F55D-55CA-4F86-9262-15250A52EFF8}"/>
    <cellStyle name="Decimal 1" xfId="51" xr:uid="{0AD462EF-057B-409C-84C3-72390957D0C6}"/>
    <cellStyle name="Decimal 1 2" xfId="461" xr:uid="{D43BD3D8-0269-4CEC-9283-BAA584EE8903}"/>
    <cellStyle name="Decimal 2" xfId="52" xr:uid="{87BE36CA-48E1-487E-B8AD-96B9667C6517}"/>
    <cellStyle name="Decimal 3" xfId="53" xr:uid="{25DBC170-E656-4F3A-A310-34CA71B14818}"/>
    <cellStyle name="Decimal 3 2" xfId="462" xr:uid="{F1BDE20E-461B-46D8-82CC-64187AAD575C}"/>
    <cellStyle name="diskette" xfId="303" xr:uid="{E5ADF849-77E8-4E5B-9DAF-5BF5ED1DE9FA}"/>
    <cellStyle name="Emphasis 1" xfId="304" xr:uid="{B026180B-B0DC-424A-9583-F9ADE36E7D6E}"/>
    <cellStyle name="Emphasis 2" xfId="305" xr:uid="{56CC52BC-FCE0-423F-82BA-FAF0E8C7F128}"/>
    <cellStyle name="Emphasis 3" xfId="306" xr:uid="{E4332DC4-A716-4E14-A766-6A0572441941}"/>
    <cellStyle name="Encabezado 4" xfId="226" xr:uid="{A0EB9065-65B0-43A9-8406-64DA17EFFF2C}"/>
    <cellStyle name="Énfasis1" xfId="227" xr:uid="{3FAE0CC2-9C64-4EA8-9AB6-44F4EB607973}"/>
    <cellStyle name="Énfasis2" xfId="228" xr:uid="{6498CBB6-C3A4-4C7B-B10B-F0FFBDD372CC}"/>
    <cellStyle name="Énfasis3" xfId="229" xr:uid="{92D178F9-AFA2-48B4-8463-456BFB342EED}"/>
    <cellStyle name="Énfasis4" xfId="230" xr:uid="{A9C77BBF-CC68-4C3B-A0A3-C17BED025DA7}"/>
    <cellStyle name="Énfasis5" xfId="231" xr:uid="{F96C77A7-7BD5-4291-9A82-A080B05B5AB6}"/>
    <cellStyle name="Énfasis6" xfId="232" xr:uid="{5B7BCCA0-5E0E-40CA-8AFD-E749E25FC13E}"/>
    <cellStyle name="Entrada" xfId="233" xr:uid="{B4A7DB4F-F9CE-4A97-B753-FCC6C793C0BF}"/>
    <cellStyle name="Euro" xfId="137" xr:uid="{0C59F483-2DCE-4ED0-A060-CEBF555500AA}"/>
    <cellStyle name="Euro 2" xfId="182" xr:uid="{CAEF692C-8651-44D3-A2E7-A913DB99F9BE}"/>
    <cellStyle name="Excel.Chart" xfId="307" xr:uid="{2BDFEDD0-1AC2-4007-8EA6-A483428170F5}"/>
    <cellStyle name="Explanatory Text" xfId="15" builtinId="53" customBuiltin="1"/>
    <cellStyle name="Explanatory Text 2" xfId="234" xr:uid="{08E3EC76-638D-46B3-93CD-2A1EE976E737}"/>
    <cellStyle name="Explanatory Text 3" xfId="138" xr:uid="{8A028E5E-550B-40E3-9AC9-94B0DEF9F802}"/>
    <cellStyle name="F2" xfId="308" xr:uid="{86D323B4-C8B0-4564-8065-22F96932FA40}"/>
    <cellStyle name="F3" xfId="309" xr:uid="{BDFEFAC9-5BC3-44C3-ACBD-75D583C27200}"/>
    <cellStyle name="F4" xfId="310" xr:uid="{1A7F7D78-F8AD-4AF5-872C-8A60C6A8A7A6}"/>
    <cellStyle name="F5" xfId="311" xr:uid="{458D325B-66C5-4B03-A8B5-0FF57A99AB4B}"/>
    <cellStyle name="F6" xfId="312" xr:uid="{1ECE914F-8595-416F-B909-A13D5CA43F24}"/>
    <cellStyle name="F7" xfId="313" xr:uid="{4EC939DD-7CDF-4EFC-B32D-446D5E3BDAB6}"/>
    <cellStyle name="F8" xfId="314" xr:uid="{96A415BB-5B76-4667-93DE-EF62F709BAE6}"/>
    <cellStyle name="facha" xfId="315" xr:uid="{40BC703B-5459-47D5-A4BF-4B34A854F809}"/>
    <cellStyle name="Fecha" xfId="316" xr:uid="{6650502C-24D7-4957-B7DA-999D906C686F}"/>
    <cellStyle name="Fijo" xfId="317" xr:uid="{6233464D-153C-4293-B550-6DBD987E2F98}"/>
    <cellStyle name="Fixed" xfId="139" xr:uid="{43D2BD41-8C39-48F8-8A1D-306A5C0D871F}"/>
    <cellStyle name="Fixed 2" xfId="183" xr:uid="{C3B91B23-2CAE-49BC-BFCF-90C87EF516C4}"/>
    <cellStyle name="Fixed 3" xfId="261" xr:uid="{73F3AB94-589E-4CE8-815A-DE847C2D1F26}"/>
    <cellStyle name="Fixed 4" xfId="170" xr:uid="{9A697D53-CF0D-4ED2-8605-4248589D0151}"/>
    <cellStyle name="Fixed_DHO-SF" xfId="284" xr:uid="{9F0D2369-3B5F-4D60-B9A7-98EE0E297292}"/>
    <cellStyle name="Fixo" xfId="318" xr:uid="{52B9A62B-4D30-4104-9B4C-DF64C84824B4}"/>
    <cellStyle name="Good" xfId="7" builtinId="26" customBuiltin="1"/>
    <cellStyle name="Good 2" xfId="235" xr:uid="{8DF46EB4-37E8-4A42-A3EB-3138D8A36F94}"/>
    <cellStyle name="Good 3" xfId="319" xr:uid="{0A289F05-FF79-49C9-BCE6-9C9C797DFCBC}"/>
    <cellStyle name="Good 4" xfId="140" xr:uid="{EBC7BFCA-3F6F-4366-B3C4-F947ED289CB7}"/>
    <cellStyle name="GOVDATA" xfId="320" xr:uid="{C2111EF5-07F9-40C1-A582-6E4C5C3FD079}"/>
    <cellStyle name="Grey" xfId="321" xr:uid="{CE034965-4DAB-4216-AC37-06C8654C9D63}"/>
    <cellStyle name="Heading 1" xfId="3" builtinId="16" customBuiltin="1"/>
    <cellStyle name="Heading 1 2" xfId="236" xr:uid="{41AB66C6-2D30-4F67-BCED-34E416F059A4}"/>
    <cellStyle name="Heading 1 3" xfId="322" xr:uid="{85E247BF-86BF-4B77-809D-895C5E0EF343}"/>
    <cellStyle name="Heading 1 4" xfId="141" xr:uid="{250031C2-7F2B-456A-BE60-74167EBED5CC}"/>
    <cellStyle name="Heading 2" xfId="4" builtinId="17" customBuiltin="1"/>
    <cellStyle name="Heading 2 2" xfId="237" xr:uid="{3229A2E8-5223-4027-AA21-DF3994F96F70}"/>
    <cellStyle name="Heading 2 3" xfId="323" xr:uid="{9375E516-F9B5-4F97-AFBC-21855171B818}"/>
    <cellStyle name="Heading 2 4" xfId="142" xr:uid="{ECAA86C2-E09F-4DCE-AC40-0C416D52A0E5}"/>
    <cellStyle name="Heading 3" xfId="5" builtinId="18" customBuiltin="1"/>
    <cellStyle name="Heading 3 2" xfId="238" xr:uid="{E093E7AA-836B-4355-9B46-0D543B2C0037}"/>
    <cellStyle name="Heading 3 3" xfId="324" xr:uid="{734C0CC9-27C8-499A-B1A6-581AECB3DAAC}"/>
    <cellStyle name="Heading 3 4" xfId="143" xr:uid="{BF50560E-4BED-422D-B1F2-A10ACD0EE72A}"/>
    <cellStyle name="Heading 4" xfId="6" builtinId="19" customBuiltin="1"/>
    <cellStyle name="Heading 4 2" xfId="239" xr:uid="{736F7737-56C9-4B73-BCEF-AE6574715926}"/>
    <cellStyle name="Heading 4 3" xfId="325" xr:uid="{7776B252-3B8D-49A0-AA68-65659364FCBD}"/>
    <cellStyle name="Heading 4 4" xfId="144" xr:uid="{D269AF16-BD64-45A3-86DD-D2ED99925B21}"/>
    <cellStyle name="HEADING1" xfId="145" xr:uid="{7A28130B-2546-4FAA-8E52-096A1F448CFE}"/>
    <cellStyle name="HEADING1 2" xfId="184" xr:uid="{B7BA2F0F-DAE6-4B15-99D5-5571163037E5}"/>
    <cellStyle name="Heading1 3" xfId="262" xr:uid="{30F4172F-61F4-4039-9DCE-9E5CFE0B9CB4}"/>
    <cellStyle name="Heading1 4" xfId="272" xr:uid="{4F876DB2-0CB1-43B1-8536-A0F86701688C}"/>
    <cellStyle name="Heading1 5" xfId="276" xr:uid="{03CD34EA-C601-4D3C-BFAD-A55702353555}"/>
    <cellStyle name="Heading1 6" xfId="171" xr:uid="{AE3E4E03-7BEA-4A09-97B8-1A6CE45EFC33}"/>
    <cellStyle name="Heading1 7" xfId="168" xr:uid="{A51C2E20-3D7A-4178-AEC9-28A1FD71FA9C}"/>
    <cellStyle name="HEADING1_DHO-SF" xfId="288" xr:uid="{4093E540-56C9-487F-850D-A3E5A4217289}"/>
    <cellStyle name="HEADING2" xfId="146" xr:uid="{257F9F01-226A-4984-91F3-68F4880DB890}"/>
    <cellStyle name="HEADING2 2" xfId="185" xr:uid="{55B3FD1D-0594-420F-A7F6-4333883482EC}"/>
    <cellStyle name="Heading2 3" xfId="263" xr:uid="{BA2960F5-566C-4E4B-8604-9F86D3BD93B2}"/>
    <cellStyle name="Heading2 4" xfId="273" xr:uid="{486626C2-36A5-4FD9-858D-382F86EAB260}"/>
    <cellStyle name="Heading2 5" xfId="275" xr:uid="{F5801AE2-700D-455E-B25C-EC4A7280ABAF}"/>
    <cellStyle name="Heading2 6" xfId="172" xr:uid="{4BFED0BA-2A44-48DE-83BD-CE4770B7A960}"/>
    <cellStyle name="Heading2 7" xfId="167" xr:uid="{C2DF7303-51CA-40DB-A5C6-E0CF74FEFFFA}"/>
    <cellStyle name="HEADING2_DHO-SF" xfId="282" xr:uid="{E45E78FD-D334-4F9A-AC4D-BCC3C58314B2}"/>
    <cellStyle name="Hipervínculo" xfId="147" xr:uid="{28EECF13-A956-4C6D-B4C6-165928696A3A}"/>
    <cellStyle name="Hipervínculo visitado" xfId="148" xr:uid="{F32ECE52-D6FA-41A4-9593-751BBD8124B1}"/>
    <cellStyle name="Hipervínculo_10-01-03 2003 2003 NUEVOS RON -NUEVOS INTERESES" xfId="326" xr:uid="{A2F3568B-538E-4BDC-83B6-EF78DF1C8105}"/>
    <cellStyle name="Hyperlink" xfId="2" builtinId="8"/>
    <cellStyle name="Hyperlink 2" xfId="463" xr:uid="{A8F6C7D3-1FA3-42ED-A80D-9586B953D235}"/>
    <cellStyle name="Hyperlink seguido_NFGC_SPE_1995_2003" xfId="327" xr:uid="{058D329D-6BF4-4013-9644-59ACD805B11A}"/>
    <cellStyle name="imf-one decimal" xfId="149" xr:uid="{0029D0FA-77B8-4DA0-A0AA-F30A471E5E02}"/>
    <cellStyle name="imf-zero decimal" xfId="150" xr:uid="{EE3B97F8-0FCE-43B0-9151-030666566E50}"/>
    <cellStyle name="Incorrecto" xfId="240" xr:uid="{896518F3-B95F-4E7F-A300-2BF5E509B2A1}"/>
    <cellStyle name="Input" xfId="9" builtinId="20" customBuiltin="1"/>
    <cellStyle name="Input %" xfId="55" xr:uid="{E9389590-24AC-44B4-AAB1-A2D9A2C22777}"/>
    <cellStyle name="Input [yellow]" xfId="329" xr:uid="{3A1051ED-28D9-4DBF-A329-A696216B90C8}"/>
    <cellStyle name="Input 1" xfId="56" xr:uid="{8679EEDF-96DD-4CDF-A1D4-622B23820013}"/>
    <cellStyle name="Input 1 2" xfId="464" xr:uid="{57833B98-9827-4667-AD7B-411515C5E9F0}"/>
    <cellStyle name="Input 2" xfId="241" xr:uid="{0014D658-508B-4C75-AB43-1B16DCE07E50}"/>
    <cellStyle name="Input 2 2" xfId="484" xr:uid="{C35E671E-F719-4092-9E61-6C4F8409F860}"/>
    <cellStyle name="Input 3" xfId="57" xr:uid="{3C15B510-B3ED-4313-B6C0-1587927A21C5}"/>
    <cellStyle name="Input 3 2" xfId="328" xr:uid="{B9631F15-9C01-44AB-BA73-8C0749C60D72}"/>
    <cellStyle name="Input 3 2 2" xfId="465" xr:uid="{001DF204-21DA-4533-9738-72794A843DCF}"/>
    <cellStyle name="Input 4" xfId="440" xr:uid="{62EF7535-5342-408B-8A31-4719089E9541}"/>
    <cellStyle name="Input 4 2" xfId="485" xr:uid="{E583737F-12A1-4EFF-8187-ECFB9D1A5F29}"/>
    <cellStyle name="Input 5" xfId="438" xr:uid="{4B1D0B1E-B48E-4BB8-8BB3-EF1CB91B4AAB}"/>
    <cellStyle name="Input 5 2" xfId="486" xr:uid="{2D6A4CC5-FD44-403E-BE33-E4ED4C944F36}"/>
    <cellStyle name="Input 6" xfId="439" xr:uid="{D4759BBD-E804-4A46-A61A-8D53B1E9B7CB}"/>
    <cellStyle name="Input 7" xfId="151" xr:uid="{D26C1028-A78D-403D-99B1-28A135B3A195}"/>
    <cellStyle name="Input 8" xfId="54" xr:uid="{75AE1361-DF54-43CB-925D-B58FE47E634B}"/>
    <cellStyle name="Input 9" xfId="479" xr:uid="{BBCD7C6E-D492-4269-B0A1-7F9802D4925D}"/>
    <cellStyle name="jo[" xfId="330" xr:uid="{81E57F1E-CF74-4AC5-859F-5AB3C6FA95AC}"/>
    <cellStyle name="Linked Cell" xfId="12" builtinId="24" customBuiltin="1"/>
    <cellStyle name="Linked Cell 2" xfId="242" xr:uid="{3374B5F2-1E98-4275-A28C-5913C56FED15}"/>
    <cellStyle name="Linked Cell 3" xfId="331" xr:uid="{0AC61F00-BBC8-4A0F-AB57-5DA88E93D06D}"/>
    <cellStyle name="Linked Cell 4" xfId="152" xr:uid="{B0BA642D-F5CD-4A25-BB77-D63498E10B6D}"/>
    <cellStyle name="Mheading1" xfId="332" xr:uid="{8AD0D8CD-6326-4A86-845B-C2402E366DCD}"/>
    <cellStyle name="Mheading2" xfId="333" xr:uid="{4C60A31B-C313-4034-8FC5-CEB108C976AE}"/>
    <cellStyle name="Millares [0]_11.1.3. bis" xfId="334" xr:uid="{7CE7A701-6F1D-4342-AEAA-5D042279E1F1}"/>
    <cellStyle name="Millares 3" xfId="243" xr:uid="{E442CDB5-2A13-4624-9712-5BA69F3E7E0D}"/>
    <cellStyle name="Millares_11.1.3. bis" xfId="335" xr:uid="{4A5B93A2-D290-4FC4-AFAF-C4D15E3061E5}"/>
    <cellStyle name="Milliers [0]_EDYAN" xfId="58" xr:uid="{6116AE25-7DB2-415D-B954-DC70830E793D}"/>
    <cellStyle name="Milliers_EDYAN" xfId="59" xr:uid="{166195C5-FD29-45FC-9622-1CDAC8A85E58}"/>
    <cellStyle name="Moeda [0]_A" xfId="336" xr:uid="{37C65C8A-88EE-4661-9D07-9347AF1EDD95}"/>
    <cellStyle name="Moeda_A" xfId="337" xr:uid="{D2D892CC-337B-43A1-B1C6-EC57771259E2}"/>
    <cellStyle name="Moeda0" xfId="338" xr:uid="{17A80F78-D5FC-4208-AF38-DFFB66378FD8}"/>
    <cellStyle name="Moneda [0]_11.1.3. bis" xfId="339" xr:uid="{587C2D5C-02DF-411B-95E2-F6B917C92E8F}"/>
    <cellStyle name="Moneda_11.1.3. bis" xfId="340" xr:uid="{4E7FC476-95BF-4188-B68E-0769EA1BF5E9}"/>
    <cellStyle name="Monétaire [0]_EDYAN" xfId="60" xr:uid="{658BE932-8B8A-424C-860F-BC5CDF804412}"/>
    <cellStyle name="Monétaire_EDYAN" xfId="61" xr:uid="{9FB334DE-9A78-4C8F-BB16-9B214F11FC0B}"/>
    <cellStyle name="Monetario" xfId="341" xr:uid="{CF66734F-B7E4-41BB-A628-75C2DDAB5C32}"/>
    <cellStyle name="Monetario0" xfId="342" xr:uid="{63CC6225-6D54-4196-854F-937BCAEEB806}"/>
    <cellStyle name="Month" xfId="62" xr:uid="{4449520E-B833-43D8-B645-2D79C755AFBF}"/>
    <cellStyle name="Month 2" xfId="466" xr:uid="{E84F4270-C79F-4494-8C1C-F1DB5B167E75}"/>
    <cellStyle name="Neutral 2" xfId="244" xr:uid="{9BADEB74-48EF-4EE2-B993-18FD3C45E24A}"/>
    <cellStyle name="Neutral 3" xfId="343" xr:uid="{FA069165-4813-403D-BD92-FFB857D4BCA0}"/>
    <cellStyle name="Neutral 4" xfId="153" xr:uid="{8F0E9B85-4E3E-44AC-B794-3240DF2C5889}"/>
    <cellStyle name="Neutral 5" xfId="40" xr:uid="{C82F6D9F-3AAA-432A-B192-D98D17369A0F}"/>
    <cellStyle name="Non défini" xfId="344" xr:uid="{79BEE4CC-14D3-4E03-8B47-2573663AB2E3}"/>
    <cellStyle name="Normal" xfId="0" builtinId="0"/>
    <cellStyle name="Normal - Style1" xfId="63" xr:uid="{6E24A755-2C32-40D3-AA93-A4A7C29B5CCD}"/>
    <cellStyle name="Normal - Style1 2" xfId="186" xr:uid="{F4B08777-D97E-4D6F-91DE-A26E188887A9}"/>
    <cellStyle name="Normal - Style1 3" xfId="266" xr:uid="{487D7E3B-1F10-4B75-A665-D190FF9C4748}"/>
    <cellStyle name="Normal - Style1 4" xfId="173" xr:uid="{F6658804-DB8E-438F-A1D1-D34775353B0E}"/>
    <cellStyle name="Normal - Style1 5" xfId="154" xr:uid="{F4E5D237-7862-4CBE-9A27-9BD3F5DF19B5}"/>
    <cellStyle name="Normal - Style1_DHO-SF" xfId="281" xr:uid="{523CE74C-707D-416A-B8F1-0A8EA0872FCA}"/>
    <cellStyle name="Normal - Style2" xfId="345" xr:uid="{AF368E7C-324E-4611-B36C-2E2082235BB7}"/>
    <cellStyle name="Normal - Style3" xfId="346" xr:uid="{7CF0D5E9-648B-4C85-9779-81649E0C45A1}"/>
    <cellStyle name="Normal - Style4" xfId="347" xr:uid="{3C29C7DC-601F-426B-8E4F-C839E50B39A1}"/>
    <cellStyle name="Normal 10" xfId="269" xr:uid="{9D6FD4C6-2E2C-4334-9E58-8D54F5FDA651}"/>
    <cellStyle name="Normal 11" xfId="64" xr:uid="{C9CAB6EC-33F8-4DE0-A661-D857AB33E67F}"/>
    <cellStyle name="Normal 11 2" xfId="270" xr:uid="{A3EC8F85-99B1-428B-800F-21391421CB9D}"/>
    <cellStyle name="Normal 11 2 2" xfId="467" xr:uid="{B974B313-3315-42B5-820F-2BCBF76E0FB9}"/>
    <cellStyle name="Normal 12" xfId="271" xr:uid="{B3837B44-D105-46CE-B12E-61AF5662FD18}"/>
    <cellStyle name="Normal 13" xfId="274" xr:uid="{3249D9F7-3CDC-4A2B-8917-3066AE3599D6}"/>
    <cellStyle name="Normal 14" xfId="289" xr:uid="{4C3E176F-9186-4C28-9261-D55343CB5467}"/>
    <cellStyle name="Normal 14 2" xfId="429" xr:uid="{FC0A7399-F999-4008-8746-84EBDBC07707}"/>
    <cellStyle name="Normal 15" xfId="436" xr:uid="{7D61D486-674B-40C5-98DE-6B034837CB3E}"/>
    <cellStyle name="Normal 16" xfId="437" xr:uid="{D5E2D229-9D50-408E-BB51-AB54BDD0582E}"/>
    <cellStyle name="Normal 17" xfId="441" xr:uid="{53C6979B-2CD4-4CA3-A738-E3BD95195B78}"/>
    <cellStyle name="Normal 18" xfId="442" xr:uid="{7EC8FCD4-0C68-464C-BDB2-6F61013CF1C7}"/>
    <cellStyle name="Normal 19" xfId="443" xr:uid="{D2C060B8-678A-41DE-ADB8-7FEA9F15905B}"/>
    <cellStyle name="Normal 2" xfId="36" xr:uid="{D1A19CBD-FC4E-4912-8E46-9A2E0B8555DB}"/>
    <cellStyle name="Normal 2 19" xfId="246" xr:uid="{46EAAEF7-A944-4B48-BEA4-675B4F86187B}"/>
    <cellStyle name="Normal 2 2" xfId="156" xr:uid="{5756D9C2-78D7-43AF-8F13-E4F6DBEE78ED}"/>
    <cellStyle name="Normal 2 2 2" xfId="175" xr:uid="{8FCD1B90-77D5-4A58-845B-41443519EBEF}"/>
    <cellStyle name="Normal 2 2 3" xfId="267" xr:uid="{6F7189A7-F697-448B-9549-F4D93523004E}"/>
    <cellStyle name="Normal 2 2 3 2" xfId="286" xr:uid="{5BFFF768-AC02-43A6-9222-6C079161E19F}"/>
    <cellStyle name="Normal 2 2 3 2 2" xfId="431" xr:uid="{13CF8D36-BCAE-4866-8E54-6172453D0AA6}"/>
    <cellStyle name="Normal 2 2 3 3" xfId="430" xr:uid="{E7D233FF-C684-45D6-A02D-4CB53C7EAEF8}"/>
    <cellStyle name="Normal 2 2 3_DHO-SF" xfId="278" xr:uid="{46352390-8FB3-46C2-9EFD-19F9F2523605}"/>
    <cellStyle name="Normal 2 2 4" xfId="174" xr:uid="{54B9C160-3F24-4A55-B50A-FFBA7EC98BB7}"/>
    <cellStyle name="Normal 2 2 5" xfId="487" xr:uid="{714CFE7C-7C57-438A-8891-512F8405A2BB}"/>
    <cellStyle name="Normal 2 2_DHO-SF" xfId="279" xr:uid="{C743D51A-7824-4A41-BD57-E5B32FA75C00}"/>
    <cellStyle name="Normal 2 3" xfId="245" xr:uid="{D0AE8C5B-6507-41E4-A0FB-566BDF93B2E5}"/>
    <cellStyle name="Normal 2 3 2" xfId="432" xr:uid="{530E5F69-609E-43FE-AEEB-BCA24C72FA45}"/>
    <cellStyle name="Normal 2 3 3" xfId="488" xr:uid="{990C9D3E-7E6C-47F2-B92C-56813420ADB2}"/>
    <cellStyle name="Normal 2 4" xfId="283" xr:uid="{5AA963AB-2E59-4712-86B2-3CA6DE701DB4}"/>
    <cellStyle name="Normal 2 4 2" xfId="433" xr:uid="{E1EE4A9C-4B95-4791-AE02-CF767261412F}"/>
    <cellStyle name="Normal 2 5" xfId="348" xr:uid="{1F7CB35E-EE5D-45F8-875D-1BCD21AE0F5E}"/>
    <cellStyle name="Normal 2 6" xfId="155" xr:uid="{6C3E0FD2-1E9B-45CB-BF33-375A615EE434}"/>
    <cellStyle name="Normal 2 7" xfId="73" xr:uid="{F6533712-CB7E-4416-9EA6-F3CF1D07C385}"/>
    <cellStyle name="Normal 2_DHO-SF" xfId="280" xr:uid="{F0CD5392-593F-40A6-8608-CD1672C0BA88}"/>
    <cellStyle name="Normal 20" xfId="166" xr:uid="{BE737F5D-66C5-49A6-A21B-3CB71FDFC42D}"/>
    <cellStyle name="Normal 21" xfId="176" xr:uid="{E1E66D1F-1452-4CB4-8F8C-9CC83DB8C8F0}"/>
    <cellStyle name="Normal 22" xfId="444" xr:uid="{387A9B8A-3193-4BF5-9295-4911946D38C3}"/>
    <cellStyle name="Normal 23" xfId="445" xr:uid="{C544C299-71C0-4B3C-AABE-C5379CF708B0}"/>
    <cellStyle name="Normal 24" xfId="446" xr:uid="{A3E6ACDE-A59D-45A8-BCD7-29FDD7EBB332}"/>
    <cellStyle name="Normal 25" xfId="447" xr:uid="{19AE2C09-13AE-4F43-8634-F9982FAA287F}"/>
    <cellStyle name="Normal 26" xfId="448" xr:uid="{AD066437-B6ED-4559-8FD4-683EA190178D}"/>
    <cellStyle name="Normal 27" xfId="449" xr:uid="{2ADE5C4B-2D4B-4568-8BEE-4CC0DDAD9E54}"/>
    <cellStyle name="Normal 28" xfId="450" xr:uid="{CE1C1490-0092-4256-A2E3-E70DC3B83A94}"/>
    <cellStyle name="Normal 29" xfId="451" xr:uid="{7EACFA8C-5D94-4832-BEA4-CFB81948D1D3}"/>
    <cellStyle name="Normal 3" xfId="37" xr:uid="{EB3CB61B-3D2A-4228-86DD-7E51AF13D9C7}"/>
    <cellStyle name="Normal 3 2" xfId="157" xr:uid="{FD34925B-C0C3-49C0-8A3F-732B145FE00E}"/>
    <cellStyle name="Normal 3 3" xfId="74" xr:uid="{D236405F-5EF1-46E7-B62A-2B68614ADFF3}"/>
    <cellStyle name="Normal 30" xfId="452" xr:uid="{22DE2F15-16AC-4A5F-A8FD-BC19CC1EA30F}"/>
    <cellStyle name="Normal 31" xfId="453" xr:uid="{637F4DB5-6CAE-4DB9-AD53-2A6B8CE72981}"/>
    <cellStyle name="Normal 32" xfId="77" xr:uid="{86B3C214-C812-457F-ADF6-AC58BFE953B2}"/>
    <cellStyle name="Normal 33" xfId="456" xr:uid="{6A7A86A7-56A3-4257-9999-B89EEB1D3C03}"/>
    <cellStyle name="Normal 34" xfId="475" xr:uid="{B2A111D7-212B-4248-AD82-B91C25708DBD}"/>
    <cellStyle name="Normal 35" xfId="481" xr:uid="{8BD32DB6-76A9-42BD-92A6-BD9B0FAF43FB}"/>
    <cellStyle name="Normal 36" xfId="482" xr:uid="{543A07A4-195F-40EA-BD0B-C6B6B5B0DC0F}"/>
    <cellStyle name="Normal 37" xfId="457" xr:uid="{786E23FA-5B2E-41FB-A45B-150339C8EC9B}"/>
    <cellStyle name="Normal 38" xfId="473" xr:uid="{D14A600C-7D71-4CBD-BBBF-FB09B63C0093}"/>
    <cellStyle name="Normal 39" xfId="35" xr:uid="{4FDC58C0-22C3-41B9-A0A2-CBE81FA01EC3}"/>
    <cellStyle name="Normal 4" xfId="47" xr:uid="{F4CBC545-521F-4F2F-9C73-A585B3F831B0}"/>
    <cellStyle name="Normal 4 2" xfId="158" xr:uid="{FFCBC173-6235-4C17-A90B-027DD51D969E}"/>
    <cellStyle name="Normal 4 2 2" xfId="489" xr:uid="{642A36B2-A6AC-4062-B6D4-82E89862BAC8}"/>
    <cellStyle name="Normal 5" xfId="178" xr:uid="{CE0D5E15-48D7-405A-A85A-D27AF9FFB11F}"/>
    <cellStyle name="Normal 5 2" xfId="265" xr:uid="{31320C3B-B753-4962-94EC-742E0F4F7E4F}"/>
    <cellStyle name="Normal 5 2 2" xfId="285" xr:uid="{A75DB875-1E16-4A88-8444-48E43FA63C9C}"/>
    <cellStyle name="Normal 5 2 2 2" xfId="435" xr:uid="{422E1908-CB61-4CFB-83C4-43E11ECEBC44}"/>
    <cellStyle name="Normal 5 2 3" xfId="434" xr:uid="{BD4A90E7-5480-4470-8787-373F48457A62}"/>
    <cellStyle name="Normal 5 2_DHO-SF" xfId="277" xr:uid="{D06B09B4-615F-4873-AA80-A237B7D083A1}"/>
    <cellStyle name="Normal 5 3" xfId="490" xr:uid="{AA44FE2C-9614-4BF3-85DB-F4AFCCC4FA13}"/>
    <cellStyle name="Normal 6" xfId="179" xr:uid="{4E9C5A54-66A0-4944-A9A2-148B0BC0191D}"/>
    <cellStyle name="Normal 6 2" xfId="491" xr:uid="{09428CDD-0539-4DD6-AC35-23CADF01F63A}"/>
    <cellStyle name="Normal 7" xfId="259" xr:uid="{19444941-4BB3-46FF-892C-1F90555C192B}"/>
    <cellStyle name="Normal 7 2" xfId="492" xr:uid="{3EC1D0B6-D127-4E82-880F-6417F464BAD0}"/>
    <cellStyle name="Normal 8" xfId="268" xr:uid="{7306CD57-A8A0-4FBE-ACC1-5CACBF2E8826}"/>
    <cellStyle name="Normal 8 2" xfId="349" xr:uid="{747AB450-25EA-4FFC-B3B7-03BE062D14CB}"/>
    <cellStyle name="Normal 9" xfId="264" xr:uid="{D2079D24-40BA-4F1F-8930-4092D628E1AB}"/>
    <cellStyle name="Normal 95" xfId="477" xr:uid="{DAA2B59E-9417-4AEF-B5E8-DCCC6E7AD6C1}"/>
    <cellStyle name="Normal Table" xfId="350" xr:uid="{B23AD0E1-B0DC-4812-92D3-A23D36E842D0}"/>
    <cellStyle name="Notas" xfId="247" xr:uid="{6F682D2B-EF4D-4484-8BE1-D1F3B26CF336}"/>
    <cellStyle name="Note 2" xfId="48" xr:uid="{0C7239EF-CD42-4847-81E0-B4A27DEFC7FA}"/>
    <cellStyle name="Note 2 2" xfId="248" xr:uid="{E7B22EC8-6452-4765-86EC-1F7D808C947E}"/>
    <cellStyle name="Note 3" xfId="351" xr:uid="{E88508E9-93AD-466C-8495-E360541C238D}"/>
    <cellStyle name="Note 4" xfId="159" xr:uid="{68457D10-46E6-49D2-9883-0F5156504988}"/>
    <cellStyle name="Output" xfId="10" builtinId="21" customBuiltin="1"/>
    <cellStyle name="Output 2" xfId="249" xr:uid="{6B9B1A6F-174F-4470-928B-842017901CAC}"/>
    <cellStyle name="Output 3" xfId="352" xr:uid="{B73C1964-C58F-4583-AC5E-A937E01C64C8}"/>
    <cellStyle name="Output 4" xfId="160" xr:uid="{ECD7FD7F-A975-4B00-933C-92D45185833A}"/>
    <cellStyle name="Percent ()" xfId="65" xr:uid="{A771D001-B5B7-4FC2-A3B3-B705FD6FA92C}"/>
    <cellStyle name="Percent () 2" xfId="468" xr:uid="{8D34831B-65F6-4FDB-9DB8-30CC2812E01B}"/>
    <cellStyle name="Percent [2]" xfId="353" xr:uid="{0F0AF52D-3456-43D5-B19A-88E1DB02610E}"/>
    <cellStyle name="Percent 1" xfId="66" xr:uid="{EAAF350F-A44A-4722-8E99-852694CC6BF2}"/>
    <cellStyle name="Percent 1 2" xfId="469" xr:uid="{55BCA7C5-D02C-4B2C-97D0-D6D5722290E0}"/>
    <cellStyle name="Percent 2" xfId="67" xr:uid="{E905CD69-89D2-4C10-AF6C-2C63F4C499ED}"/>
    <cellStyle name="Percent 2 2" xfId="187" xr:uid="{EC99F5A2-3759-47C9-A406-2475F3C37125}"/>
    <cellStyle name="Percent 2 2 2" xfId="470" xr:uid="{67D8DD86-4AB6-47EB-8D82-E072D9FCFDD1}"/>
    <cellStyle name="Percent 3" xfId="471" xr:uid="{CA53CFD9-FC31-4E9B-B377-B4418314F300}"/>
    <cellStyle name="Percent 3 2" xfId="494" xr:uid="{2BB044E0-BB02-420D-9F00-EFD5F2BB28DE}"/>
    <cellStyle name="Percent 4" xfId="455" xr:uid="{09423769-3717-4374-93A6-C3CEABB4B704}"/>
    <cellStyle name="Percent 5" xfId="495" xr:uid="{B8AC7E0F-B473-433B-88A6-C7B059357CB4}"/>
    <cellStyle name="Percent 6" xfId="496" xr:uid="{40C48DD8-41A6-4E7D-9A07-94332B9AF0BE}"/>
    <cellStyle name="Percent 7" xfId="497" xr:uid="{550F8FD9-65B0-4C92-B453-09D1145DDCDD}"/>
    <cellStyle name="Percent 8" xfId="493" xr:uid="{6A373819-318A-4391-9CF2-6B37DB6C0D61}"/>
    <cellStyle name="percentage difference" xfId="354" xr:uid="{AEAFF9E2-833E-4C03-859A-4F2889F0AD87}"/>
    <cellStyle name="percentage difference one decimal" xfId="161" xr:uid="{1A393E3B-D87E-4233-831E-D3AE2F452335}"/>
    <cellStyle name="percentage difference zero decimal" xfId="162" xr:uid="{E793F493-FDC4-4AB7-897D-D81D44E28797}"/>
    <cellStyle name="Percentual" xfId="355" xr:uid="{6637F1AA-0078-458A-8BF3-1A7A5C8E2B2D}"/>
    <cellStyle name="Ponto" xfId="356" xr:uid="{E1853C57-8E64-41AD-B093-CA65FEEB5652}"/>
    <cellStyle name="Porcentagem_SEP1196" xfId="357" xr:uid="{0A69DF2B-097F-4872-8E7B-A5F095057A8F}"/>
    <cellStyle name="Porcentaje" xfId="358" xr:uid="{158C4370-3E4F-4DF8-97F3-37B111D76298}"/>
    <cellStyle name="Presentation" xfId="359" xr:uid="{6CE6B7F7-D4C1-4FCD-BBBF-4BE02240CFBB}"/>
    <cellStyle name="Publication" xfId="360" xr:uid="{046ED603-B94F-4439-8E46-396EE182CB76}"/>
    <cellStyle name="Punto" xfId="361" xr:uid="{E05D1193-5384-48E2-A259-D68B7259F579}"/>
    <cellStyle name="Punto0" xfId="362" xr:uid="{5F979EE9-5EDB-4D3F-A1D9-601149D6DBCA}"/>
    <cellStyle name="Salida" xfId="250" xr:uid="{E21005AE-7F84-4CCA-98BB-7791FEFCEF5B}"/>
    <cellStyle name="SAPBEXaggData" xfId="363" xr:uid="{6808AE08-C0A4-4FDD-A37A-73CDFC7DCC81}"/>
    <cellStyle name="SAPBEXaggDataEmph" xfId="364" xr:uid="{91A712FF-9414-4362-882B-3292BBE3A6BE}"/>
    <cellStyle name="SAPBEXaggItem" xfId="365" xr:uid="{CF243C8A-F6E4-431E-98A9-DBDD857CA2FD}"/>
    <cellStyle name="SAPBEXchaText" xfId="366" xr:uid="{385020FD-D560-4B17-9EF3-4F2CE9F541E6}"/>
    <cellStyle name="SAPBEXexcBad" xfId="367" xr:uid="{136B826C-C54A-4FBF-A495-4DA4F4A0D1C1}"/>
    <cellStyle name="SAPBEXexcCritical" xfId="368" xr:uid="{1C125632-5DCB-47FC-A698-F056AA184F23}"/>
    <cellStyle name="SAPBEXexcGood" xfId="369" xr:uid="{83F03497-F731-47C2-AF11-C0681B89056D}"/>
    <cellStyle name="SAPBEXexcVeryBad" xfId="370" xr:uid="{71F4EAF3-0353-4CDE-B43E-E649B5FAF7B1}"/>
    <cellStyle name="SAPBEXfilterDrill" xfId="371" xr:uid="{9953D1C0-9090-461B-8A54-4868F528EE08}"/>
    <cellStyle name="SAPBEXfilterItem" xfId="372" xr:uid="{64465E9F-59F6-4A42-B746-A140275BA54F}"/>
    <cellStyle name="SAPBEXfilterText" xfId="373" xr:uid="{66967899-4FD3-4C18-9483-F274E3FD7858}"/>
    <cellStyle name="SAPBEXformats" xfId="374" xr:uid="{31790B50-757D-45E6-A699-59A1CDB563F6}"/>
    <cellStyle name="SAPBEXheaderData" xfId="375" xr:uid="{2194BD89-D3A8-42A8-9B36-AA2FFF017CA8}"/>
    <cellStyle name="SAPBEXheaderItem" xfId="376" xr:uid="{C380F56C-66B3-46E9-8144-22F252DDF375}"/>
    <cellStyle name="SAPBEXheaderText" xfId="377" xr:uid="{32333EEF-95CE-42D3-86C8-FA3180F94BBC}"/>
    <cellStyle name="SAPBEXresData" xfId="378" xr:uid="{157FFAA8-BCFA-4A1F-BACF-F7003380194D}"/>
    <cellStyle name="SAPBEXresDataEmph" xfId="379" xr:uid="{CC0807FF-A106-4046-ABB3-7A6244C42A98}"/>
    <cellStyle name="SAPBEXresItem" xfId="380" xr:uid="{3C7FB605-AB4E-4487-926D-C93CF695C6A4}"/>
    <cellStyle name="SAPBEXstdData" xfId="381" xr:uid="{5537C564-A09E-4A16-B9A9-5A3D60F21EE0}"/>
    <cellStyle name="SAPBEXstdDataEmph" xfId="382" xr:uid="{2CBB4A42-0CEC-4FFE-A833-0D7AD27A5B7C}"/>
    <cellStyle name="SAPBEXstdItem" xfId="383" xr:uid="{7A833C3E-DFD8-48C9-9BA0-716ECA1AC77B}"/>
    <cellStyle name="SAPBEXsubData" xfId="384" xr:uid="{05854F73-C0E5-4AA7-9D15-D18AD1DC0441}"/>
    <cellStyle name="SAPBEXsubDataEmph" xfId="385" xr:uid="{D5F0A471-78E0-4AD3-9002-D1D76AA27111}"/>
    <cellStyle name="SAPBEXsubItem" xfId="386" xr:uid="{CE3FBE9E-5A05-4E0F-BB90-09A6C73A52BB}"/>
    <cellStyle name="SAPBEXtitle" xfId="387" xr:uid="{824C6CC7-80AC-4F77-8402-5C33D9221F1F}"/>
    <cellStyle name="SAPBEXundefined" xfId="388" xr:uid="{4B92A87E-97F8-471E-A34B-E98A6A990CE7}"/>
    <cellStyle name="Sep. milhar [2]" xfId="389" xr:uid="{34321BD4-5E81-4CE6-AF2D-5A298363D640}"/>
    <cellStyle name="Separador de m" xfId="390" xr:uid="{86F15ADB-C91B-47E0-8204-C1AA64CD0C4C}"/>
    <cellStyle name="Separador de milhares [0]_A" xfId="391" xr:uid="{35B72350-19D1-4BAC-8FCB-405EE265BE6A}"/>
    <cellStyle name="Separador de milhares_A" xfId="392" xr:uid="{3548CF5B-26A9-490F-A989-4AF6C64C261A}"/>
    <cellStyle name="Sheet Title" xfId="393" xr:uid="{C1B4CDD4-E2BE-4F46-B67B-D967349F6652}"/>
    <cellStyle name="Sum" xfId="68" xr:uid="{18E758FD-2D50-414A-B76E-6F116AEB5088}"/>
    <cellStyle name="Sum %of HV" xfId="69" xr:uid="{C4739136-3193-4B73-B0F4-1BDF35CE5A30}"/>
    <cellStyle name="Sum %of HV 2" xfId="472" xr:uid="{33C5C258-A3C7-4A10-AB83-3EBBC75B1FB4}"/>
    <cellStyle name="Text" xfId="394" xr:uid="{07A182CA-9EEC-49D9-AEE0-B7E942EC13C7}"/>
    <cellStyle name="Texto de advertencia" xfId="251" xr:uid="{804E4324-B76B-46EA-8A0C-920B3A4FAC65}"/>
    <cellStyle name="Texto explicativo" xfId="252" xr:uid="{0328B9D0-8ED0-402F-9C3C-72BEC5E7C416}"/>
    <cellStyle name="time" xfId="70" xr:uid="{D01C66F5-17BA-4DA4-8041-38CEBF973CCE}"/>
    <cellStyle name="time 2" xfId="474" xr:uid="{68AE5320-4418-4FAC-9C73-282DFAB62998}"/>
    <cellStyle name="Title 2" xfId="253" xr:uid="{CC977748-42D0-4D63-829F-4A69A4C37FB7}"/>
    <cellStyle name="Title 3" xfId="163" xr:uid="{3B3EEE37-B844-47C2-A004-478C2B5A1CA1}"/>
    <cellStyle name="Title 4" xfId="39" xr:uid="{DA60CB33-71D7-4C60-95D0-03DE8C9AF59F}"/>
    <cellStyle name="Título" xfId="254" xr:uid="{5DC27B74-A16E-4BA3-9641-48D40D221798}"/>
    <cellStyle name="Título 1" xfId="255" xr:uid="{1C40C1EC-0878-47DB-9A1B-3E09FD49C5E0}"/>
    <cellStyle name="Título 2" xfId="256" xr:uid="{8CAA2B09-C5B4-42D3-807B-89BE5D3FBD58}"/>
    <cellStyle name="Título 3" xfId="257" xr:uid="{66651D7D-8B1F-4236-B58C-854B4D1F83D8}"/>
    <cellStyle name="Titulo1" xfId="395" xr:uid="{7CDCFAB9-A4B0-481D-A0FC-7ACC81166F37}"/>
    <cellStyle name="Titulo2" xfId="396" xr:uid="{31A0D9B7-7AA0-4374-8F97-C4007DF6BAE2}"/>
    <cellStyle name="Total" xfId="16" builtinId="25" customBuiltin="1"/>
    <cellStyle name="Total 2" xfId="188" xr:uid="{BA914D77-904D-4D81-BF05-04E7B8149669}"/>
    <cellStyle name="Total 3" xfId="164" xr:uid="{469B6F85-35E4-4ED6-8761-03773CDBEBBA}"/>
    <cellStyle name="Underline 2" xfId="71" xr:uid="{6BB1E019-1CF9-4EBB-810E-7DE59C58C709}"/>
    <cellStyle name="V¡rgula" xfId="397" xr:uid="{8156F74F-4040-4458-B5D3-54E0BE6B7BB5}"/>
    <cellStyle name="V¡rgula0" xfId="398" xr:uid="{A05A2BC4-FB03-4C09-84D7-A9B2E3F21042}"/>
    <cellStyle name="vaca" xfId="399" xr:uid="{A38E9120-1E6F-4AEC-8DBC-4EF6AF43F6D8}"/>
    <cellStyle name="Vírgula" xfId="400" xr:uid="{E174518F-3B16-4B42-98F3-97EB8E2533CE}"/>
    <cellStyle name="Warning Text" xfId="14" builtinId="11" customBuiltin="1"/>
    <cellStyle name="Warning Text 2" xfId="258" xr:uid="{29C2D1BF-11D7-438A-AE26-D1C5EDEE02DE}"/>
    <cellStyle name="Warning Text 3" xfId="401" xr:uid="{3A77A214-4B18-4116-9103-E7795A24DB05}"/>
    <cellStyle name="Warning Text 4" xfId="165" xr:uid="{4DDE8AAA-6B03-4816-86E3-EE6545ACC296}"/>
    <cellStyle name="WebAnchor1" xfId="402" xr:uid="{EA3BADFC-4007-4080-B27C-F45C420462AF}"/>
    <cellStyle name="WebAnchor2" xfId="403" xr:uid="{9D49CA5D-0854-4961-9135-D885FF582617}"/>
    <cellStyle name="WebAnchor3" xfId="404" xr:uid="{5239E0C3-730F-4D0D-BDCF-CA44EF24813F}"/>
    <cellStyle name="WebAnchor4" xfId="405" xr:uid="{C0C05F88-C15E-42BE-87B8-27ECBF81E157}"/>
    <cellStyle name="WebAnchor5" xfId="406" xr:uid="{798DE53D-8EA3-4B67-813C-5615C9E4386E}"/>
    <cellStyle name="WebAnchor6" xfId="407" xr:uid="{A3AB768C-21CD-4487-B44C-3A8CBD42EC6E}"/>
    <cellStyle name="WebAnchor7" xfId="408" xr:uid="{9291A863-8CDF-4B53-A8BC-D691FCDCB6F0}"/>
    <cellStyle name="Webexclude" xfId="409" xr:uid="{1B52CE18-912D-4039-9A33-D1966098CBFC}"/>
    <cellStyle name="WebFN" xfId="410" xr:uid="{04071C49-6AEF-46AA-AAB0-D79AD1CDDC76}"/>
    <cellStyle name="WebFN1" xfId="411" xr:uid="{66C4C207-B7B6-4256-8F97-BAEEEE22BC0D}"/>
    <cellStyle name="WebFN2" xfId="412" xr:uid="{BFEB63E8-0B57-4506-AD0E-29DE825B688B}"/>
    <cellStyle name="WebFN3" xfId="413" xr:uid="{75D366DE-51E7-420F-B7BD-C79773AD99D5}"/>
    <cellStyle name="WebFN4" xfId="414" xr:uid="{84BAEEBE-C4C8-491C-8274-9536FE8B8061}"/>
    <cellStyle name="WebHR" xfId="415" xr:uid="{1F0E08D4-ED70-4DD6-A8EF-EF715BB334BD}"/>
    <cellStyle name="WebIndent1" xfId="416" xr:uid="{397943BB-DF2C-4C0C-AB01-FDDBAEE98D6E}"/>
    <cellStyle name="WebIndent1wFN3" xfId="417" xr:uid="{9881B758-F81E-483C-825E-2647962929A1}"/>
    <cellStyle name="WebIndent2" xfId="418" xr:uid="{990648F3-F6E4-47FD-846D-DEC9A9219BCD}"/>
    <cellStyle name="WebNoBR" xfId="419" xr:uid="{62000B31-B5BF-4A4F-B90A-9FD0DC22B2F9}"/>
    <cellStyle name="Year" xfId="72" xr:uid="{9DF48935-F55B-4802-9E9B-FF8DC5C64505}"/>
    <cellStyle name="Year 2" xfId="476" xr:uid="{E94BA48F-8F3B-45C7-86CB-B42D80ED77E2}"/>
    <cellStyle name="ДАТА" xfId="420" xr:uid="{42C30C46-E6BF-423B-B1A6-AF83483EE6B8}"/>
    <cellStyle name="ДЕНЕЖНЫЙ_BOPENGC" xfId="421" xr:uid="{214BF582-FEE2-4F74-BD36-294F986A3C28}"/>
    <cellStyle name="ЗАГОЛОВОК1" xfId="422" xr:uid="{3D2AB23F-24E1-4C69-A099-9062818B8E41}"/>
    <cellStyle name="ЗАГОЛОВОК2" xfId="423" xr:uid="{B42E7F05-5216-4A8F-BE9A-19AE92CE01F3}"/>
    <cellStyle name="ИТОГОВЫЙ" xfId="424" xr:uid="{76E5FAF4-7C8E-4A56-9E28-B858E5D22BAB}"/>
    <cellStyle name="Обычный_9265SR" xfId="177" xr:uid="{0D187763-18AA-4169-8DFC-B4757D11BAF5}"/>
    <cellStyle name="ПРОЦЕНТНЫЙ_BOPENGC" xfId="425" xr:uid="{6F3E4012-1605-4AD0-A140-E8014258D5FB}"/>
    <cellStyle name="ТЕКСТ" xfId="426" xr:uid="{7FA23CBC-1D36-4DC0-90DB-FE4F1A716A63}"/>
    <cellStyle name="ФИКСИРОВАННЫЙ" xfId="427" xr:uid="{BB39FDAB-3351-42D0-9286-669149F204D0}"/>
    <cellStyle name="ФИНАНСОВЫЙ_BOPENGC" xfId="428" xr:uid="{4B86B4B5-4FA2-4970-9410-271CBA3FC7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260985</xdr:colOff>
      <xdr:row>58</xdr:row>
      <xdr:rowOff>53975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B4344A-BF4C-A17E-FD81-A676574DA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76185" cy="10734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39</xdr:row>
          <xdr:rowOff>120650</xdr:rowOff>
        </xdr:from>
        <xdr:to>
          <xdr:col>11</xdr:col>
          <xdr:colOff>342900</xdr:colOff>
          <xdr:row>43</xdr:row>
          <xdr:rowOff>0</xdr:rowOff>
        </xdr:to>
        <xdr:sp macro="" textlink="">
          <xdr:nvSpPr>
            <xdr:cNvPr id="47106" name="Object 2" hidden="1">
              <a:extLst>
                <a:ext uri="{63B3BB69-23CF-44E3-9099-C40C66FF867C}">
                  <a14:compatExt spid="_x0000_s47106"/>
                </a:ext>
                <a:ext uri="{FF2B5EF4-FFF2-40B4-BE49-F238E27FC236}">
                  <a16:creationId xmlns:a16="http://schemas.microsoft.com/office/drawing/2014/main" id="{00000000-0008-0000-0000-000002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3425402</xdr:colOff>
      <xdr:row>54</xdr:row>
      <xdr:rowOff>35791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8A0168-BD27-4A8F-9531-D14856BE9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2277" cy="107410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455179</xdr:colOff>
      <xdr:row>3</xdr:row>
      <xdr:rowOff>96054</xdr:rowOff>
    </xdr:from>
    <xdr:to>
      <xdr:col>1</xdr:col>
      <xdr:colOff>2921000</xdr:colOff>
      <xdr:row>40</xdr:row>
      <xdr:rowOff>165100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97B97633-FB0D-43CA-8006-29D1FE6829B2}"/>
            </a:ext>
          </a:extLst>
        </xdr:cNvPr>
        <xdr:cNvSpPr txBox="1">
          <a:spLocks/>
        </xdr:cNvSpPr>
      </xdr:nvSpPr>
      <xdr:spPr>
        <a:xfrm>
          <a:off x="455179" y="1213654"/>
          <a:ext cx="6866371" cy="6730196"/>
        </a:xfrm>
        <a:prstGeom prst="rect">
          <a:avLst/>
        </a:prstGeom>
        <a:solidFill>
          <a:sysClr val="window" lastClr="FFFFFF"/>
        </a:solidFill>
        <a:ln w="6350">
          <a:solidFill>
            <a:schemeClr val="bg1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en-ZA" sz="12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Mandate</a:t>
          </a:r>
        </a:p>
        <a:p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ZA" sz="1200" b="1" i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The Regulatory Authority </a:t>
          </a:r>
          <a:r>
            <a:rPr lang="en-ZA" sz="12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derives its mandate to regulate and supervise Non-Bank Financial Institutions (NBFIs) from </a:t>
          </a:r>
          <a:r>
            <a:rPr lang="en-ZA" sz="120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Section 5 of the NBFIRA Act, (2023</a:t>
          </a:r>
          <a:r>
            <a:rPr lang="en-ZA" sz="12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).  The principal objective of </a:t>
          </a:r>
          <a:r>
            <a:rPr lang="en-ZA" sz="1200" b="1" i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the Regulatory Authority</a:t>
          </a:r>
          <a:r>
            <a:rPr lang="en-ZA" sz="1200" i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n-ZA" sz="12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is to foster the following: - </a:t>
          </a:r>
        </a:p>
        <a:p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342900" lvl="0" indent="-342900">
            <a:buFont typeface="Symbol" panose="05050102010706020507" pitchFamily="18" charset="2"/>
            <a:buChar char=""/>
          </a:pPr>
          <a:r>
            <a:rPr lang="en-ZA" sz="12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Safety and soundness of the NBFIs.</a:t>
          </a:r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342900" lvl="0" indent="-342900">
            <a:buFont typeface="Symbol" panose="05050102010706020507" pitchFamily="18" charset="2"/>
            <a:buChar char=""/>
          </a:pPr>
          <a:r>
            <a:rPr lang="en-ZA" sz="12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The highest standards of conduct of business by the NBFIs.</a:t>
          </a:r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342900" lvl="0" indent="-342900">
            <a:buFont typeface="Symbol" panose="05050102010706020507" pitchFamily="18" charset="2"/>
            <a:buChar char=""/>
          </a:pPr>
          <a:r>
            <a:rPr lang="en-ZA" sz="12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Fairness, efficiency, and orderliness of the NBFIs.</a:t>
          </a:r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342900" lvl="0" indent="-342900">
            <a:buFont typeface="Symbol" panose="05050102010706020507" pitchFamily="18" charset="2"/>
            <a:buChar char=""/>
          </a:pPr>
          <a:r>
            <a:rPr lang="en-ZA" sz="12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Stability of the financial system; and</a:t>
          </a:r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342900" lvl="0" indent="-342900">
            <a:buFont typeface="Symbol" panose="05050102010706020507" pitchFamily="18" charset="2"/>
            <a:buChar char=""/>
          </a:pPr>
          <a:r>
            <a:rPr lang="en-ZA" sz="12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Reduction and deterrence of financial crime.</a:t>
          </a:r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en-ZA" sz="1200" b="1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ZA" sz="12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Vision, Mission, and Values</a:t>
          </a:r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en-ZA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ZA" sz="12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To support its fundamental and principal objective, </a:t>
          </a:r>
          <a:r>
            <a:rPr lang="en-ZA" sz="1200" b="1" i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the Regulatory Authority </a:t>
          </a:r>
          <a:r>
            <a:rPr lang="en-ZA" sz="12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subscribes to the following vision, mission, and values to embrace a culture of a high-performance organisation.  </a:t>
          </a:r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en-ZA" sz="1200" b="1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ZA" sz="12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Vision:	</a:t>
          </a:r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en-ZA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ZA" sz="12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To be an efficient and effective regulatory and supervisory authority in line with international best practices.	</a:t>
          </a:r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en-ZA" sz="1200" b="1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ZA" sz="12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Mission:	</a:t>
          </a:r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en-ZA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ZA" sz="12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To regulate and supervise the Non-Bank Financial Institutions for the purpose of contributing towards financial stability.</a:t>
          </a:r>
        </a:p>
        <a:p>
          <a:endParaRPr lang="en-US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ZA" sz="12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Values:	</a:t>
          </a:r>
        </a:p>
        <a:p>
          <a:r>
            <a:rPr lang="en-ZA" sz="12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	</a:t>
          </a:r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ZA" sz="1200" b="1" i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Integrity</a:t>
          </a:r>
          <a:r>
            <a:rPr lang="en-ZA" sz="1200" i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		</a:t>
          </a:r>
          <a:r>
            <a:rPr lang="en-ZA" sz="12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Adherence to the highest ethical standards.</a:t>
          </a:r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ZA" sz="1200" b="1" i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Transparency</a:t>
          </a:r>
          <a:r>
            <a:rPr lang="en-ZA" sz="12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	Openness and frankness in operations.</a:t>
          </a:r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1371600" indent="-1371600"/>
          <a:r>
            <a:rPr lang="en-ZA" sz="1200" b="1" i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Fairness</a:t>
          </a:r>
          <a:r>
            <a:rPr lang="en-ZA" sz="1200" b="0" i="1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              	</a:t>
          </a:r>
          <a:r>
            <a:rPr lang="en-ZA" sz="12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Consistent promotion of equal treatment in dealings with all 	stakeholders.</a:t>
          </a:r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ZA" sz="1200" b="1" i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Accountability</a:t>
          </a:r>
          <a:r>
            <a:rPr lang="en-ZA" sz="1200" i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	</a:t>
          </a:r>
          <a:r>
            <a:rPr lang="en-ZA" sz="12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Responsibility to stakeholders.</a:t>
          </a:r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ZA" sz="1200" b="1" i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Diligence</a:t>
          </a:r>
          <a:r>
            <a:rPr lang="en-ZA" sz="12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		Thoroughness and persistence in the execution of duties.</a:t>
          </a:r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n-US" sz="1200">
              <a:solidFill>
                <a:srgbClr val="2F5496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 </a:t>
          </a:r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US" sz="8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 </a:t>
          </a:r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320252</xdr:colOff>
      <xdr:row>40</xdr:row>
      <xdr:rowOff>58016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39F447-2C3C-409E-A918-2D557831B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9100"/>
          <a:ext cx="7635452" cy="768119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357186</xdr:colOff>
      <xdr:row>17</xdr:row>
      <xdr:rowOff>7938</xdr:rowOff>
    </xdr:from>
    <xdr:to>
      <xdr:col>12</xdr:col>
      <xdr:colOff>174625</xdr:colOff>
      <xdr:row>24</xdr:row>
      <xdr:rowOff>15874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8BA1093-DC65-44EB-AB76-5DE968F149E0}"/>
            </a:ext>
          </a:extLst>
        </xdr:cNvPr>
        <xdr:cNvSpPr txBox="1">
          <a:spLocks/>
        </xdr:cNvSpPr>
      </xdr:nvSpPr>
      <xdr:spPr>
        <a:xfrm>
          <a:off x="3413124" y="3246438"/>
          <a:ext cx="4095751" cy="1341436"/>
        </a:xfrm>
        <a:prstGeom prst="rect">
          <a:avLst/>
        </a:prstGeom>
        <a:solidFill>
          <a:sysClr val="window" lastClr="FFFFFF"/>
        </a:solidFill>
        <a:ln w="6350">
          <a:solidFill>
            <a:schemeClr val="bg1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n-US" sz="1200">
              <a:solidFill>
                <a:srgbClr val="2F5496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Private</a:t>
          </a:r>
          <a:r>
            <a:rPr lang="en-US" sz="1200" baseline="0">
              <a:solidFill>
                <a:srgbClr val="2F5496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Bag 00314</a:t>
          </a:r>
        </a:p>
        <a:p>
          <a:pPr algn="ctr"/>
          <a:r>
            <a:rPr lang="en-US" sz="1200" baseline="0">
              <a:solidFill>
                <a:srgbClr val="2F5496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3rd Floor Exponential Building</a:t>
          </a:r>
        </a:p>
        <a:p>
          <a:pPr algn="ctr"/>
          <a:r>
            <a:rPr lang="en-US" sz="1200" baseline="0">
              <a:solidFill>
                <a:srgbClr val="2F5496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Plot 54351 New CBD, Off PG Matante Road,</a:t>
          </a:r>
        </a:p>
        <a:p>
          <a:pPr algn="ctr"/>
          <a:r>
            <a:rPr lang="en-US" sz="1200">
              <a:solidFill>
                <a:srgbClr val="2F5496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Gaborone</a:t>
          </a:r>
        </a:p>
        <a:p>
          <a:pPr algn="ctr"/>
          <a:r>
            <a:rPr lang="en-US" sz="1200">
              <a:solidFill>
                <a:srgbClr val="2F5496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Tel:</a:t>
          </a:r>
          <a:r>
            <a:rPr lang="en-US" sz="1200" baseline="0">
              <a:solidFill>
                <a:srgbClr val="2F5496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+267 310 2595, 368 6100</a:t>
          </a:r>
        </a:p>
        <a:p>
          <a:pPr algn="ctr"/>
          <a:r>
            <a:rPr lang="en-US" sz="1200" baseline="0">
              <a:solidFill>
                <a:srgbClr val="2F5496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Fax: +267 310 2376, 310 2353</a:t>
          </a:r>
          <a:r>
            <a:rPr lang="en-US" sz="1200">
              <a:solidFill>
                <a:srgbClr val="2F5496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 </a:t>
          </a:r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US" sz="12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 </a:t>
          </a:r>
          <a:endParaRPr lang="en-BW" sz="12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F649A-ED05-4B42-83FB-2B4BB4C9964E}">
  <dimension ref="A1"/>
  <sheetViews>
    <sheetView tabSelected="1" topLeftCell="A28" workbookViewId="0">
      <selection activeCell="G69" sqref="G69"/>
    </sheetView>
  </sheetViews>
  <sheetFormatPr defaultRowHeight="14.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7106" r:id="rId4">
          <objectPr defaultSize="0" autoPict="0" r:id="rId5">
            <anchor moveWithCells="1">
              <from>
                <xdr:col>3</xdr:col>
                <xdr:colOff>317500</xdr:colOff>
                <xdr:row>39</xdr:row>
                <xdr:rowOff>120650</xdr:rowOff>
              </from>
              <to>
                <xdr:col>11</xdr:col>
                <xdr:colOff>342900</xdr:colOff>
                <xdr:row>43</xdr:row>
                <xdr:rowOff>0</xdr:rowOff>
              </to>
            </anchor>
          </objectPr>
        </oleObject>
      </mc:Choice>
      <mc:Fallback>
        <oleObject progId="Word.Document.12" shapeId="4710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6A64C-A29E-4776-B71E-96E1C2D4B7BC}">
  <dimension ref="A1:M16"/>
  <sheetViews>
    <sheetView showGridLines="0" zoomScaleNormal="100" workbookViewId="0">
      <selection activeCell="F14" sqref="F14"/>
    </sheetView>
  </sheetViews>
  <sheetFormatPr defaultColWidth="8.7265625" defaultRowHeight="14.5"/>
  <cols>
    <col min="1" max="1" width="18.7265625" bestFit="1" customWidth="1"/>
    <col min="2" max="8" width="9.7265625" bestFit="1" customWidth="1"/>
  </cols>
  <sheetData>
    <row r="1" spans="1:13">
      <c r="A1" s="20" t="s">
        <v>40</v>
      </c>
      <c r="B1" s="490" t="s">
        <v>281</v>
      </c>
      <c r="C1" s="490"/>
      <c r="D1" s="490"/>
      <c r="E1" s="490"/>
      <c r="F1" s="490"/>
      <c r="G1" s="490"/>
      <c r="M1" s="145" t="str">
        <f>HYPERLINK("#Contents!A9","BACK TO CONTENTS")</f>
        <v>BACK TO CONTENTS</v>
      </c>
    </row>
    <row r="2" spans="1:13">
      <c r="B2" s="490"/>
      <c r="C2" s="490"/>
      <c r="D2" s="490"/>
      <c r="E2" s="490"/>
      <c r="F2" s="490"/>
      <c r="G2" s="490"/>
    </row>
    <row r="4" spans="1:13" s="26" customFormat="1" ht="14.25" customHeight="1" thickBot="1">
      <c r="A4" s="182" t="s">
        <v>15</v>
      </c>
      <c r="B4" s="79">
        <v>2013</v>
      </c>
      <c r="C4" s="79">
        <v>2014</v>
      </c>
      <c r="D4" s="79">
        <v>2015</v>
      </c>
      <c r="E4" s="79">
        <v>2016</v>
      </c>
      <c r="F4" s="183">
        <v>2017</v>
      </c>
      <c r="G4" s="183">
        <v>2018</v>
      </c>
      <c r="H4" s="183">
        <v>2019</v>
      </c>
      <c r="I4" s="183">
        <v>2020</v>
      </c>
      <c r="J4" s="183">
        <v>2021</v>
      </c>
      <c r="K4" s="183">
        <v>2022</v>
      </c>
      <c r="L4" s="184">
        <v>2023</v>
      </c>
      <c r="M4" s="184">
        <v>2024</v>
      </c>
    </row>
    <row r="5" spans="1:13" s="26" customFormat="1" ht="14.25" customHeight="1" thickTop="1">
      <c r="A5" s="185" t="s">
        <v>278</v>
      </c>
      <c r="B5" s="186">
        <f>SUM(B6:B11)</f>
        <v>263</v>
      </c>
      <c r="C5" s="186">
        <f>SUM(C6:C11)</f>
        <v>270</v>
      </c>
      <c r="D5" s="186">
        <f>SUM(D6:D11)</f>
        <v>274</v>
      </c>
      <c r="E5" s="186">
        <f>SUM(E6:E11)</f>
        <v>246</v>
      </c>
      <c r="F5" s="186">
        <f>SUM(F6:F11)</f>
        <v>246</v>
      </c>
      <c r="G5" s="186">
        <f t="shared" ref="G5:M5" si="0">SUM(G6:G11)</f>
        <v>246</v>
      </c>
      <c r="H5" s="186">
        <f t="shared" si="0"/>
        <v>234</v>
      </c>
      <c r="I5" s="186">
        <f t="shared" si="0"/>
        <v>224</v>
      </c>
      <c r="J5" s="186">
        <f>SUM(J6:J11)</f>
        <v>244</v>
      </c>
      <c r="K5" s="186">
        <f t="shared" si="0"/>
        <v>250</v>
      </c>
      <c r="L5" s="187">
        <f t="shared" si="0"/>
        <v>241</v>
      </c>
      <c r="M5" s="187">
        <f t="shared" si="0"/>
        <v>251</v>
      </c>
    </row>
    <row r="6" spans="1:13" ht="14.25" customHeight="1">
      <c r="A6" s="188" t="s">
        <v>41</v>
      </c>
      <c r="B6" s="34">
        <v>9</v>
      </c>
      <c r="C6" s="34">
        <v>9</v>
      </c>
      <c r="D6" s="34">
        <v>9</v>
      </c>
      <c r="E6" s="34">
        <v>9</v>
      </c>
      <c r="F6" s="34">
        <v>9</v>
      </c>
      <c r="G6" s="34">
        <v>9</v>
      </c>
      <c r="H6" s="34">
        <v>8</v>
      </c>
      <c r="I6" s="34">
        <v>8</v>
      </c>
      <c r="J6" s="34">
        <v>9</v>
      </c>
      <c r="K6" s="34">
        <v>9</v>
      </c>
      <c r="L6" s="189">
        <v>9</v>
      </c>
      <c r="M6" s="189">
        <v>10</v>
      </c>
    </row>
    <row r="7" spans="1:13" ht="14.25" customHeight="1">
      <c r="A7" s="188" t="s">
        <v>42</v>
      </c>
      <c r="B7" s="34">
        <v>11</v>
      </c>
      <c r="C7" s="34">
        <v>12</v>
      </c>
      <c r="D7" s="34">
        <v>12</v>
      </c>
      <c r="E7" s="34">
        <v>12</v>
      </c>
      <c r="F7" s="34">
        <v>12</v>
      </c>
      <c r="G7" s="34">
        <v>12</v>
      </c>
      <c r="H7" s="34">
        <v>12</v>
      </c>
      <c r="I7" s="34">
        <v>12</v>
      </c>
      <c r="J7" s="34">
        <v>12</v>
      </c>
      <c r="K7" s="34">
        <v>12</v>
      </c>
      <c r="L7" s="189">
        <v>11</v>
      </c>
      <c r="M7" s="189">
        <v>13</v>
      </c>
    </row>
    <row r="8" spans="1:13" ht="14.25" customHeight="1">
      <c r="A8" s="188" t="s">
        <v>43</v>
      </c>
      <c r="B8" s="34">
        <v>2</v>
      </c>
      <c r="C8" s="34">
        <v>3</v>
      </c>
      <c r="D8" s="34">
        <v>3</v>
      </c>
      <c r="E8" s="34">
        <v>3</v>
      </c>
      <c r="F8" s="34">
        <v>3</v>
      </c>
      <c r="G8" s="34">
        <v>3</v>
      </c>
      <c r="H8" s="34">
        <v>3</v>
      </c>
      <c r="I8" s="34">
        <v>3</v>
      </c>
      <c r="J8" s="34">
        <v>4</v>
      </c>
      <c r="K8" s="34">
        <v>5</v>
      </c>
      <c r="L8" s="189">
        <v>5</v>
      </c>
      <c r="M8" s="189">
        <v>7</v>
      </c>
    </row>
    <row r="9" spans="1:13" ht="14.25" customHeight="1">
      <c r="A9" s="188" t="s">
        <v>44</v>
      </c>
      <c r="B9" s="34">
        <v>9</v>
      </c>
      <c r="C9" s="34">
        <v>9</v>
      </c>
      <c r="D9" s="34">
        <v>9</v>
      </c>
      <c r="E9" s="34">
        <v>10</v>
      </c>
      <c r="F9" s="34">
        <v>10</v>
      </c>
      <c r="G9" s="34">
        <v>10</v>
      </c>
      <c r="H9" s="34">
        <v>5</v>
      </c>
      <c r="I9" s="34">
        <v>5</v>
      </c>
      <c r="J9" s="34">
        <v>5</v>
      </c>
      <c r="K9" s="34">
        <v>5</v>
      </c>
      <c r="L9" s="189">
        <v>5</v>
      </c>
      <c r="M9" s="189">
        <v>5</v>
      </c>
    </row>
    <row r="10" spans="1:13" ht="14.25" customHeight="1">
      <c r="A10" s="188" t="s">
        <v>45</v>
      </c>
      <c r="B10" s="34">
        <v>45</v>
      </c>
      <c r="C10" s="34">
        <v>46</v>
      </c>
      <c r="D10" s="34">
        <v>47</v>
      </c>
      <c r="E10" s="34">
        <v>51</v>
      </c>
      <c r="F10" s="34">
        <v>51</v>
      </c>
      <c r="G10" s="34">
        <v>51</v>
      </c>
      <c r="H10" s="34">
        <v>56</v>
      </c>
      <c r="I10" s="34">
        <v>57</v>
      </c>
      <c r="J10" s="34">
        <v>57</v>
      </c>
      <c r="K10" s="34">
        <v>59</v>
      </c>
      <c r="L10" s="189">
        <v>60</v>
      </c>
      <c r="M10" s="189">
        <v>69</v>
      </c>
    </row>
    <row r="11" spans="1:13" ht="14.25" customHeight="1">
      <c r="A11" s="188" t="s">
        <v>46</v>
      </c>
      <c r="B11" s="34">
        <v>187</v>
      </c>
      <c r="C11" s="34">
        <v>191</v>
      </c>
      <c r="D11" s="34">
        <v>194</v>
      </c>
      <c r="E11" s="34">
        <v>161</v>
      </c>
      <c r="F11" s="34">
        <v>161</v>
      </c>
      <c r="G11" s="34">
        <v>161</v>
      </c>
      <c r="H11" s="34">
        <v>150</v>
      </c>
      <c r="I11" s="34">
        <v>139</v>
      </c>
      <c r="J11" s="34">
        <v>157</v>
      </c>
      <c r="K11" s="34">
        <v>160</v>
      </c>
      <c r="L11" s="189">
        <v>151</v>
      </c>
      <c r="M11" s="189">
        <v>147</v>
      </c>
    </row>
    <row r="12" spans="1:13" ht="14.25" customHeight="1">
      <c r="A12" s="188" t="s">
        <v>47</v>
      </c>
      <c r="B12" s="455">
        <v>2523</v>
      </c>
      <c r="C12" s="455">
        <v>2607</v>
      </c>
      <c r="D12" s="455">
        <v>2607</v>
      </c>
      <c r="E12" s="455">
        <v>2292</v>
      </c>
      <c r="F12" s="455">
        <v>2292</v>
      </c>
      <c r="G12" s="455">
        <v>2470</v>
      </c>
      <c r="H12" s="455">
        <v>2276</v>
      </c>
      <c r="I12" s="455">
        <v>3024</v>
      </c>
      <c r="J12" s="455">
        <v>2927</v>
      </c>
      <c r="K12" s="455">
        <v>3459</v>
      </c>
      <c r="L12" s="456">
        <v>3463</v>
      </c>
      <c r="M12" s="456">
        <v>3463</v>
      </c>
    </row>
    <row r="13" spans="1:13" ht="14.25" customHeight="1">
      <c r="A13" s="190" t="s">
        <v>280</v>
      </c>
      <c r="B13" s="457">
        <f>SUM(B6:B12)</f>
        <v>2786</v>
      </c>
      <c r="C13" s="457">
        <f>SUM(C6:C12)</f>
        <v>2877</v>
      </c>
      <c r="D13" s="457">
        <f>SUM(D6:D12)</f>
        <v>2881</v>
      </c>
      <c r="E13" s="457">
        <f>SUM(E6:E12)</f>
        <v>2538</v>
      </c>
      <c r="F13" s="457">
        <f>SUM(F6:F12)</f>
        <v>2538</v>
      </c>
      <c r="G13" s="457">
        <f t="shared" ref="G13:M13" si="1">SUM(G6:G12)</f>
        <v>2716</v>
      </c>
      <c r="H13" s="457">
        <f t="shared" si="1"/>
        <v>2510</v>
      </c>
      <c r="I13" s="457">
        <f t="shared" si="1"/>
        <v>3248</v>
      </c>
      <c r="J13" s="457">
        <f t="shared" si="1"/>
        <v>3171</v>
      </c>
      <c r="K13" s="457">
        <f t="shared" si="1"/>
        <v>3709</v>
      </c>
      <c r="L13" s="458">
        <f t="shared" si="1"/>
        <v>3704</v>
      </c>
      <c r="M13" s="458">
        <f t="shared" si="1"/>
        <v>3714</v>
      </c>
    </row>
    <row r="15" spans="1:13">
      <c r="A15" s="34" t="s">
        <v>37</v>
      </c>
      <c r="B15" s="34" t="s">
        <v>282</v>
      </c>
    </row>
    <row r="16" spans="1:13">
      <c r="A16" s="34" t="s">
        <v>38</v>
      </c>
      <c r="B16" s="34" t="s">
        <v>279</v>
      </c>
    </row>
  </sheetData>
  <protectedRanges>
    <protectedRange sqref="A6:L12" name="Range1"/>
  </protectedRanges>
  <mergeCells count="1">
    <mergeCell ref="B1:G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1245F-473C-4CB4-B3F5-2DAD6292AA68}">
  <dimension ref="A1:L31"/>
  <sheetViews>
    <sheetView showGridLines="0" zoomScaleNormal="100" workbookViewId="0">
      <selection activeCell="H35" sqref="H35"/>
    </sheetView>
  </sheetViews>
  <sheetFormatPr defaultRowHeight="14.5"/>
  <cols>
    <col min="1" max="1" width="20.81640625" customWidth="1"/>
    <col min="7" max="7" width="8.54296875" bestFit="1" customWidth="1"/>
    <col min="8" max="8" width="7.26953125" bestFit="1" customWidth="1"/>
  </cols>
  <sheetData>
    <row r="1" spans="1:12" ht="15" customHeight="1">
      <c r="A1" s="20" t="s">
        <v>48</v>
      </c>
      <c r="B1" s="491" t="s">
        <v>49</v>
      </c>
      <c r="C1" s="491"/>
      <c r="D1" s="491"/>
      <c r="E1" s="491"/>
      <c r="F1" s="491"/>
      <c r="G1" s="491"/>
      <c r="H1" s="491"/>
      <c r="L1" s="27" t="str">
        <f>HYPERLINK("#Contents!A9","BACK TO CONTENTS")</f>
        <v>BACK TO CONTENTS</v>
      </c>
    </row>
    <row r="2" spans="1:12">
      <c r="B2" s="491"/>
      <c r="C2" s="491"/>
      <c r="D2" s="491"/>
      <c r="E2" s="491"/>
      <c r="F2" s="491"/>
      <c r="G2" s="491"/>
      <c r="H2" s="491"/>
    </row>
    <row r="3" spans="1:12">
      <c r="A3" s="41" t="s">
        <v>22</v>
      </c>
      <c r="B3" s="34"/>
      <c r="C3" s="11"/>
      <c r="D3" s="11"/>
      <c r="E3" s="11"/>
      <c r="F3" s="34"/>
      <c r="G3" s="34"/>
    </row>
    <row r="4" spans="1:12" ht="14.25" customHeight="1" thickBot="1">
      <c r="A4" s="13" t="s">
        <v>23</v>
      </c>
      <c r="B4" s="5">
        <v>2013</v>
      </c>
      <c r="C4" s="5">
        <v>2014</v>
      </c>
      <c r="D4" s="5">
        <v>2015</v>
      </c>
      <c r="E4" s="5">
        <v>2016</v>
      </c>
      <c r="F4" s="5">
        <v>2017</v>
      </c>
      <c r="G4" s="5">
        <v>2018</v>
      </c>
      <c r="H4" s="5">
        <v>2019</v>
      </c>
      <c r="I4" s="14">
        <v>2020</v>
      </c>
      <c r="J4" s="14">
        <v>2021</v>
      </c>
      <c r="K4" s="15">
        <v>2022</v>
      </c>
      <c r="L4" s="15">
        <v>2023</v>
      </c>
    </row>
    <row r="5" spans="1:12" ht="14.25" customHeight="1" thickTop="1">
      <c r="A5" s="16" t="s">
        <v>24</v>
      </c>
      <c r="B5" s="427">
        <f>SUM(B6:B12)</f>
        <v>19819</v>
      </c>
      <c r="C5" s="427">
        <f>SUM(C6:C12)</f>
        <v>22902</v>
      </c>
      <c r="D5" s="427">
        <f>SUM(D6:D12)</f>
        <v>22659</v>
      </c>
      <c r="E5" s="427">
        <f>SUM(E6:E12)</f>
        <v>22749</v>
      </c>
      <c r="F5" s="427">
        <f t="shared" ref="F5:K5" si="0">SUM(F6:F12)</f>
        <v>18850</v>
      </c>
      <c r="G5" s="427">
        <f t="shared" si="0"/>
        <v>20074.239000000001</v>
      </c>
      <c r="H5" s="427">
        <f t="shared" si="0"/>
        <v>21552.791000000001</v>
      </c>
      <c r="I5" s="47">
        <f t="shared" si="0"/>
        <v>22877.58</v>
      </c>
      <c r="J5" s="427">
        <f t="shared" si="0"/>
        <v>23698.705000000002</v>
      </c>
      <c r="K5" s="44">
        <f t="shared" si="0"/>
        <v>24504.500177000002</v>
      </c>
      <c r="L5" s="44">
        <f>SUM(L6:L12)</f>
        <v>20927</v>
      </c>
    </row>
    <row r="6" spans="1:12" ht="14.25" customHeight="1">
      <c r="A6" s="1" t="s">
        <v>41</v>
      </c>
      <c r="B6" s="45">
        <f>'3.12'!B8</f>
        <v>17848</v>
      </c>
      <c r="C6" s="45">
        <f>'3.12'!C8</f>
        <v>19785</v>
      </c>
      <c r="D6" s="45">
        <f>'3.12'!D8</f>
        <v>19467</v>
      </c>
      <c r="E6" s="45">
        <f>'3.12'!E8</f>
        <v>19293</v>
      </c>
      <c r="F6" s="45">
        <f>'3.12'!F8</f>
        <v>15391</v>
      </c>
      <c r="G6" s="45">
        <f>'3.12'!G8</f>
        <v>16222.239000000001</v>
      </c>
      <c r="H6" s="45">
        <f>'3.12'!H8</f>
        <v>17182.791000000001</v>
      </c>
      <c r="I6" s="45">
        <f>'3.12'!I8</f>
        <v>18040.580000000002</v>
      </c>
      <c r="J6" s="45">
        <f>'3.12'!J8</f>
        <v>18404.705000000002</v>
      </c>
      <c r="K6" s="46">
        <f>'3.12'!K8</f>
        <v>19051.500177000002</v>
      </c>
      <c r="L6" s="46">
        <f>'3.12'!L8</f>
        <v>16683</v>
      </c>
    </row>
    <row r="7" spans="1:12" ht="14.25" customHeight="1">
      <c r="A7" s="1" t="s">
        <v>42</v>
      </c>
      <c r="B7" s="45">
        <f>'3.22'!B8</f>
        <v>1411</v>
      </c>
      <c r="C7" s="45">
        <f>'3.22'!C8</f>
        <v>1711</v>
      </c>
      <c r="D7" s="45">
        <f>'3.22'!D8</f>
        <v>1783</v>
      </c>
      <c r="E7" s="45">
        <f>'3.22'!E8</f>
        <v>1939</v>
      </c>
      <c r="F7" s="45">
        <f>'3.22'!F8</f>
        <v>1873</v>
      </c>
      <c r="G7" s="45">
        <f>'3.22'!G8</f>
        <v>1979</v>
      </c>
      <c r="H7" s="45">
        <f>'3.22'!H8</f>
        <v>2270</v>
      </c>
      <c r="I7" s="45">
        <f>'3.22'!I8</f>
        <v>2417</v>
      </c>
      <c r="J7" s="45">
        <f>'3.22'!J8</f>
        <v>2615</v>
      </c>
      <c r="K7" s="46">
        <f>'3.22'!K8</f>
        <v>2553</v>
      </c>
      <c r="L7" s="46">
        <f>'3.22'!L8</f>
        <v>1453</v>
      </c>
    </row>
    <row r="8" spans="1:12" ht="14.25" customHeight="1">
      <c r="A8" s="1" t="s">
        <v>43</v>
      </c>
      <c r="B8" s="45">
        <f>'3.32'!B8</f>
        <v>50</v>
      </c>
      <c r="C8" s="45">
        <f>'3.32'!C8</f>
        <v>194</v>
      </c>
      <c r="D8" s="45">
        <f>'3.32'!D8</f>
        <v>234</v>
      </c>
      <c r="E8" s="45">
        <f>'3.32'!E8</f>
        <v>249</v>
      </c>
      <c r="F8" s="45">
        <f>'3.32'!F8</f>
        <v>254</v>
      </c>
      <c r="G8" s="45">
        <f>'3.32'!G8</f>
        <v>394</v>
      </c>
      <c r="H8" s="45">
        <f>'3.32'!H8</f>
        <v>505</v>
      </c>
      <c r="I8" s="45">
        <f>'3.32'!I8</f>
        <v>536</v>
      </c>
      <c r="J8" s="45">
        <f>'3.32'!J8</f>
        <v>684</v>
      </c>
      <c r="K8" s="46">
        <f>'3.32'!K8</f>
        <v>842</v>
      </c>
      <c r="L8" s="46">
        <f>'3.32'!L8</f>
        <v>1096</v>
      </c>
    </row>
    <row r="9" spans="1:12" ht="14.25" customHeight="1">
      <c r="A9" s="1" t="s">
        <v>301</v>
      </c>
      <c r="B9" s="108">
        <f>'3.51'!B11</f>
        <v>0</v>
      </c>
      <c r="C9" s="45">
        <f>'3.51'!C11</f>
        <v>838</v>
      </c>
      <c r="D9" s="45">
        <f>'3.51'!D11</f>
        <v>784</v>
      </c>
      <c r="E9" s="45">
        <f>'3.51'!E11</f>
        <v>875</v>
      </c>
      <c r="F9" s="45">
        <f>'3.51'!F11</f>
        <v>943</v>
      </c>
      <c r="G9" s="45">
        <f>'3.51'!G11</f>
        <v>1065</v>
      </c>
      <c r="H9" s="45">
        <f>'3.51'!H11</f>
        <v>1129</v>
      </c>
      <c r="I9" s="45">
        <f>'3.51'!I11</f>
        <v>1421</v>
      </c>
      <c r="J9" s="45">
        <f>'3.51'!J11</f>
        <v>1484</v>
      </c>
      <c r="K9" s="46">
        <f>'3.51'!K11</f>
        <v>1504</v>
      </c>
      <c r="L9" s="46">
        <f>'3.51'!L11</f>
        <v>1040</v>
      </c>
    </row>
    <row r="10" spans="1:12" ht="14.25" customHeight="1">
      <c r="A10" s="1" t="s">
        <v>45</v>
      </c>
      <c r="B10" s="45">
        <f>'3.42'!B8</f>
        <v>510</v>
      </c>
      <c r="C10" s="45">
        <f>'3.42'!C8</f>
        <v>374</v>
      </c>
      <c r="D10" s="45">
        <f>'3.42'!D8</f>
        <v>391</v>
      </c>
      <c r="E10" s="45">
        <f>'3.42'!E8</f>
        <v>393</v>
      </c>
      <c r="F10" s="45">
        <f>'3.42'!F8</f>
        <v>389</v>
      </c>
      <c r="G10" s="45">
        <f>'3.42'!G8</f>
        <v>414</v>
      </c>
      <c r="H10" s="45">
        <f>'3.42'!H8</f>
        <v>466</v>
      </c>
      <c r="I10" s="45">
        <f>'3.42'!I8</f>
        <v>463</v>
      </c>
      <c r="J10" s="45">
        <f>'3.42'!J8</f>
        <v>511</v>
      </c>
      <c r="K10" s="46">
        <f>'3.42'!K8</f>
        <v>554</v>
      </c>
      <c r="L10" s="46">
        <f>'3.42'!L8</f>
        <v>655</v>
      </c>
    </row>
    <row r="11" spans="1:12" ht="14.25" customHeight="1">
      <c r="A11" s="1" t="s">
        <v>299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8"/>
      <c r="L11" s="168"/>
    </row>
    <row r="12" spans="1:12" ht="14.25" customHeight="1">
      <c r="A12" s="9" t="s">
        <v>300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8"/>
      <c r="L12" s="168"/>
    </row>
    <row r="13" spans="1:12" ht="14.25" customHeight="1">
      <c r="A13" s="16" t="s">
        <v>50</v>
      </c>
      <c r="B13" s="47">
        <f>SUM(B14:B20)</f>
        <v>2748</v>
      </c>
      <c r="C13" s="47">
        <f>SUM(C14:C20)</f>
        <v>3717</v>
      </c>
      <c r="D13" s="47">
        <f>SUM(D14:D20)</f>
        <v>3877</v>
      </c>
      <c r="E13" s="47">
        <f>SUM(E14:E20)</f>
        <v>4026</v>
      </c>
      <c r="F13" s="47">
        <f t="shared" ref="F13:K13" si="1">SUM(F14:F20)</f>
        <v>4646</v>
      </c>
      <c r="G13" s="47">
        <f t="shared" si="1"/>
        <v>4460.1229999999996</v>
      </c>
      <c r="H13" s="47">
        <f t="shared" si="1"/>
        <v>4813.6270000000004</v>
      </c>
      <c r="I13" s="47">
        <f t="shared" si="1"/>
        <v>5299.7939999999999</v>
      </c>
      <c r="J13" s="47">
        <f t="shared" si="1"/>
        <v>5469.8590000000004</v>
      </c>
      <c r="K13" s="44">
        <f t="shared" si="1"/>
        <v>5660.5929049999995</v>
      </c>
      <c r="L13" s="44">
        <f>SUM(L14:L20)</f>
        <v>5231</v>
      </c>
    </row>
    <row r="14" spans="1:12" ht="14.25" customHeight="1">
      <c r="A14" s="1" t="s">
        <v>41</v>
      </c>
      <c r="B14" s="45">
        <f>'3.12'!B16</f>
        <v>1936</v>
      </c>
      <c r="C14" s="45">
        <f>'3.12'!C16</f>
        <v>2768</v>
      </c>
      <c r="D14" s="45">
        <f>'3.12'!D16</f>
        <v>2801</v>
      </c>
      <c r="E14" s="45">
        <f>'3.12'!E16</f>
        <v>2907</v>
      </c>
      <c r="F14" s="45">
        <f>'3.12'!F16</f>
        <v>2941</v>
      </c>
      <c r="G14" s="45">
        <f>'3.12'!G16</f>
        <v>2578.123</v>
      </c>
      <c r="H14" s="45">
        <f>'3.12'!H16</f>
        <v>2753.627</v>
      </c>
      <c r="I14" s="45">
        <f>'3.12'!I16</f>
        <v>2898.7939999999999</v>
      </c>
      <c r="J14" s="45">
        <f>'3.12'!J16</f>
        <v>3030.8589999999999</v>
      </c>
      <c r="K14" s="46">
        <f>'3.12'!K16</f>
        <v>3187.592905</v>
      </c>
      <c r="L14" s="46">
        <f>'3.12'!L16</f>
        <v>3011</v>
      </c>
    </row>
    <row r="15" spans="1:12" ht="14.25" customHeight="1">
      <c r="A15" s="1" t="s">
        <v>42</v>
      </c>
      <c r="B15" s="45">
        <f>'3.22'!B16</f>
        <v>648</v>
      </c>
      <c r="C15" s="45">
        <f>'3.22'!C16</f>
        <v>698</v>
      </c>
      <c r="D15" s="45">
        <f>'3.22'!D16</f>
        <v>790</v>
      </c>
      <c r="E15" s="45">
        <f>'3.22'!E16</f>
        <v>821</v>
      </c>
      <c r="F15" s="45">
        <f>'3.22'!F16</f>
        <v>730</v>
      </c>
      <c r="G15" s="45">
        <f>'3.22'!G16</f>
        <v>734</v>
      </c>
      <c r="H15" s="45">
        <f>'3.22'!H16</f>
        <v>774</v>
      </c>
      <c r="I15" s="45">
        <f>'3.22'!I16</f>
        <v>848</v>
      </c>
      <c r="J15" s="45">
        <f>'3.22'!J16</f>
        <v>783</v>
      </c>
      <c r="K15" s="46">
        <f>'3.22'!K16</f>
        <v>771</v>
      </c>
      <c r="L15" s="46">
        <f>'3.22'!L16</f>
        <v>592</v>
      </c>
    </row>
    <row r="16" spans="1:12" ht="14.25" customHeight="1">
      <c r="A16" s="1" t="s">
        <v>43</v>
      </c>
      <c r="B16" s="45">
        <f>'3.32'!B16</f>
        <v>25</v>
      </c>
      <c r="C16" s="45">
        <f>'3.32'!C16</f>
        <v>96</v>
      </c>
      <c r="D16" s="45">
        <f>'3.32'!D16</f>
        <v>110</v>
      </c>
      <c r="E16" s="45">
        <f>'3.32'!E16</f>
        <v>115</v>
      </c>
      <c r="F16" s="45">
        <f>'3.32'!F16</f>
        <v>96</v>
      </c>
      <c r="G16" s="45">
        <f>'3.32'!G16</f>
        <v>164</v>
      </c>
      <c r="H16" s="45">
        <f>'3.32'!H16</f>
        <v>189</v>
      </c>
      <c r="I16" s="45">
        <f>'3.32'!I16</f>
        <v>191</v>
      </c>
      <c r="J16" s="45">
        <f>'3.32'!J16</f>
        <v>269</v>
      </c>
      <c r="K16" s="46">
        <f>'3.32'!K16</f>
        <v>299</v>
      </c>
      <c r="L16" s="46">
        <f>'3.32'!L16</f>
        <v>534</v>
      </c>
    </row>
    <row r="17" spans="1:12" ht="14.25" customHeight="1">
      <c r="A17" s="1" t="s">
        <v>301</v>
      </c>
      <c r="B17" s="108">
        <f>'3.51'!B9</f>
        <v>0</v>
      </c>
      <c r="C17" s="108">
        <f>'3.51'!C9</f>
        <v>0</v>
      </c>
      <c r="D17" s="108">
        <f>'3.51'!D9</f>
        <v>0</v>
      </c>
      <c r="E17" s="108">
        <f>'3.51'!E9</f>
        <v>0</v>
      </c>
      <c r="F17" s="45">
        <f>'3.51'!F9</f>
        <v>723</v>
      </c>
      <c r="G17" s="45">
        <f>'3.51'!G9</f>
        <v>822</v>
      </c>
      <c r="H17" s="45">
        <f>'3.51'!H9</f>
        <v>908</v>
      </c>
      <c r="I17" s="45">
        <f>'3.51'!I9</f>
        <v>1149</v>
      </c>
      <c r="J17" s="45">
        <f>'3.51'!J9</f>
        <v>1144</v>
      </c>
      <c r="K17" s="46">
        <f>'3.51'!K9</f>
        <v>1129</v>
      </c>
      <c r="L17" s="46">
        <f>'3.51'!L9</f>
        <v>791</v>
      </c>
    </row>
    <row r="18" spans="1:12" ht="14.25" customHeight="1">
      <c r="A18" s="1" t="s">
        <v>45</v>
      </c>
      <c r="B18" s="45">
        <f>'3.42'!B15</f>
        <v>139</v>
      </c>
      <c r="C18" s="45">
        <f>'3.42'!C15</f>
        <v>155</v>
      </c>
      <c r="D18" s="45">
        <f>'3.42'!D15</f>
        <v>176</v>
      </c>
      <c r="E18" s="45">
        <f>'3.42'!E15</f>
        <v>183</v>
      </c>
      <c r="F18" s="45">
        <f>'3.42'!F15</f>
        <v>156</v>
      </c>
      <c r="G18" s="45">
        <f>'3.42'!G15</f>
        <v>162</v>
      </c>
      <c r="H18" s="45">
        <f>'3.42'!H15</f>
        <v>189</v>
      </c>
      <c r="I18" s="45">
        <f>'3.42'!I15</f>
        <v>213</v>
      </c>
      <c r="J18" s="45">
        <f>'3.42'!J15</f>
        <v>243</v>
      </c>
      <c r="K18" s="46">
        <f>'3.42'!K15</f>
        <v>274</v>
      </c>
      <c r="L18" s="46">
        <f>'3.42'!L15</f>
        <v>303</v>
      </c>
    </row>
    <row r="19" spans="1:12" ht="14.25" customHeight="1">
      <c r="A19" s="1" t="s">
        <v>299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8"/>
      <c r="L19" s="168"/>
    </row>
    <row r="20" spans="1:12" ht="14.25" customHeight="1">
      <c r="A20" s="9" t="s">
        <v>300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8"/>
      <c r="L20" s="168"/>
    </row>
    <row r="21" spans="1:12" ht="14.25" customHeight="1">
      <c r="A21" s="16" t="s">
        <v>51</v>
      </c>
      <c r="B21" s="47">
        <f>SUM(B22:B28)</f>
        <v>17369</v>
      </c>
      <c r="C21" s="47">
        <f>SUM(C22:C28)</f>
        <v>18345</v>
      </c>
      <c r="D21" s="47">
        <f>SUM(D22:D28)</f>
        <v>18247</v>
      </c>
      <c r="E21" s="47">
        <f>SUM(E22:E28)</f>
        <v>18119</v>
      </c>
      <c r="F21" s="47">
        <f t="shared" ref="F21:K21" si="2">SUM(F22:F28)</f>
        <v>20235</v>
      </c>
      <c r="G21" s="47">
        <f t="shared" si="2"/>
        <v>15613.117</v>
      </c>
      <c r="H21" s="47">
        <f t="shared" si="2"/>
        <v>16744.163</v>
      </c>
      <c r="I21" s="47">
        <f t="shared" si="2"/>
        <v>17581.656000000003</v>
      </c>
      <c r="J21" s="47">
        <f t="shared" si="2"/>
        <v>18227.845000000001</v>
      </c>
      <c r="K21" s="44">
        <f t="shared" si="2"/>
        <v>18842.907272</v>
      </c>
      <c r="L21" s="44">
        <f>SUM(L22:L28)</f>
        <v>15694</v>
      </c>
    </row>
    <row r="22" spans="1:12" ht="14.25" customHeight="1">
      <c r="A22" s="1" t="s">
        <v>41</v>
      </c>
      <c r="B22" s="45">
        <f>'3.12'!B12</f>
        <v>15912</v>
      </c>
      <c r="C22" s="45">
        <f>'3.12'!C12</f>
        <v>17018</v>
      </c>
      <c r="D22" s="45">
        <f>'3.12'!D12</f>
        <v>16666</v>
      </c>
      <c r="E22" s="45">
        <f>'3.12'!E12</f>
        <v>16386</v>
      </c>
      <c r="F22" s="45">
        <f>'3.12'!F12</f>
        <v>18483</v>
      </c>
      <c r="G22" s="45">
        <f>'3.12'!G12</f>
        <v>13644.117</v>
      </c>
      <c r="H22" s="45">
        <f>'3.12'!H12</f>
        <v>14429.162999999999</v>
      </c>
      <c r="I22" s="45">
        <f>'3.12'!I12</f>
        <v>15146.656000000001</v>
      </c>
      <c r="J22" s="45">
        <f>'3.12'!J12</f>
        <v>15373.845000000001</v>
      </c>
      <c r="K22" s="46">
        <f>'3.12'!K12</f>
        <v>15863.907272</v>
      </c>
      <c r="L22" s="46">
        <f>'3.12'!L12</f>
        <v>13671</v>
      </c>
    </row>
    <row r="23" spans="1:12" ht="14.25" customHeight="1">
      <c r="A23" s="1" t="s">
        <v>42</v>
      </c>
      <c r="B23" s="45">
        <f>'3.22'!B12</f>
        <v>1063</v>
      </c>
      <c r="C23" s="45">
        <f>'3.22'!C12</f>
        <v>1013</v>
      </c>
      <c r="D23" s="45">
        <f>'3.22'!D12</f>
        <v>994</v>
      </c>
      <c r="E23" s="45">
        <f>'3.22'!E12</f>
        <v>1118</v>
      </c>
      <c r="F23" s="45">
        <f>'3.22'!F12</f>
        <v>1143</v>
      </c>
      <c r="G23" s="45">
        <f>'3.22'!G12</f>
        <v>1245</v>
      </c>
      <c r="H23" s="45">
        <f>'3.22'!H12</f>
        <v>1498</v>
      </c>
      <c r="I23" s="45">
        <f>'3.22'!I12</f>
        <v>1568</v>
      </c>
      <c r="J23" s="45">
        <f>'3.22'!J12</f>
        <v>1832</v>
      </c>
      <c r="K23" s="46">
        <f>'3.22'!K12</f>
        <v>1781</v>
      </c>
      <c r="L23" s="46">
        <f>'3.22'!L12</f>
        <v>860</v>
      </c>
    </row>
    <row r="24" spans="1:12" ht="14.25" customHeight="1">
      <c r="A24" s="1" t="s">
        <v>43</v>
      </c>
      <c r="B24" s="45">
        <f>'3.32'!B12</f>
        <v>23</v>
      </c>
      <c r="C24" s="45">
        <f>'3.32'!C12</f>
        <v>96</v>
      </c>
      <c r="D24" s="45">
        <f>'3.32'!D12</f>
        <v>124</v>
      </c>
      <c r="E24" s="45">
        <f>'3.32'!E12</f>
        <v>134</v>
      </c>
      <c r="F24" s="45">
        <f>'3.32'!F12</f>
        <v>157</v>
      </c>
      <c r="G24" s="45">
        <f>'3.32'!G12</f>
        <v>229</v>
      </c>
      <c r="H24" s="45">
        <f>'3.32'!H12</f>
        <v>315</v>
      </c>
      <c r="I24" s="45">
        <f>'3.32'!I12</f>
        <v>345</v>
      </c>
      <c r="J24" s="45">
        <f>'3.32'!J12</f>
        <v>414</v>
      </c>
      <c r="K24" s="46">
        <f>'3.32'!K12</f>
        <v>543</v>
      </c>
      <c r="L24" s="46">
        <f>'3.32'!L12</f>
        <v>562</v>
      </c>
    </row>
    <row r="25" spans="1:12" ht="14.25" customHeight="1">
      <c r="A25" s="1" t="s">
        <v>301</v>
      </c>
      <c r="B25" s="108">
        <f>'3.51'!B10</f>
        <v>0</v>
      </c>
      <c r="C25" s="108">
        <f>'3.51'!C10</f>
        <v>0</v>
      </c>
      <c r="D25" s="45">
        <f>'3.51'!D10</f>
        <v>249</v>
      </c>
      <c r="E25" s="45">
        <f>'3.51'!E10</f>
        <v>272</v>
      </c>
      <c r="F25" s="45">
        <f>'3.51'!F10</f>
        <v>220</v>
      </c>
      <c r="G25" s="45">
        <f>'3.51'!G10</f>
        <v>243</v>
      </c>
      <c r="H25" s="45">
        <f>'3.51'!H10</f>
        <v>221</v>
      </c>
      <c r="I25" s="45">
        <f>'3.51'!I10</f>
        <v>272</v>
      </c>
      <c r="J25" s="45">
        <f>'3.51'!J10</f>
        <v>340</v>
      </c>
      <c r="K25" s="46">
        <f>'3.51'!K10</f>
        <v>375</v>
      </c>
      <c r="L25" s="46">
        <f>'3.51'!L10</f>
        <v>249</v>
      </c>
    </row>
    <row r="26" spans="1:12" ht="14.25" customHeight="1">
      <c r="A26" s="1" t="s">
        <v>45</v>
      </c>
      <c r="B26" s="45">
        <f>'3.42'!B12</f>
        <v>371</v>
      </c>
      <c r="C26" s="45">
        <f>'3.42'!C12</f>
        <v>218</v>
      </c>
      <c r="D26" s="45">
        <f>'3.42'!D12</f>
        <v>214</v>
      </c>
      <c r="E26" s="45">
        <f>'3.42'!E12</f>
        <v>209</v>
      </c>
      <c r="F26" s="45">
        <f>'3.42'!F12</f>
        <v>232</v>
      </c>
      <c r="G26" s="45">
        <f>'3.42'!G12</f>
        <v>252</v>
      </c>
      <c r="H26" s="45">
        <f>'3.42'!H12</f>
        <v>281</v>
      </c>
      <c r="I26" s="45">
        <f>'3.42'!I12</f>
        <v>250</v>
      </c>
      <c r="J26" s="45">
        <f>'3.42'!J12</f>
        <v>268</v>
      </c>
      <c r="K26" s="46">
        <f>'3.42'!K12</f>
        <v>280</v>
      </c>
      <c r="L26" s="46">
        <f>'3.42'!L12</f>
        <v>352</v>
      </c>
    </row>
    <row r="27" spans="1:12" ht="14.25" customHeight="1">
      <c r="A27" s="1" t="s">
        <v>299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8"/>
      <c r="L27" s="168"/>
    </row>
    <row r="28" spans="1:12" ht="14.25" customHeight="1">
      <c r="A28" s="48" t="s">
        <v>300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1"/>
      <c r="L28" s="201"/>
    </row>
    <row r="30" spans="1:12">
      <c r="A30" s="180" t="s">
        <v>37</v>
      </c>
      <c r="B30" s="181" t="s">
        <v>302</v>
      </c>
    </row>
    <row r="31" spans="1:12">
      <c r="A31" s="34" t="s">
        <v>38</v>
      </c>
      <c r="B31" s="34" t="s">
        <v>305</v>
      </c>
    </row>
  </sheetData>
  <mergeCells count="1">
    <mergeCell ref="B1:H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DD7E-69C9-4BD2-A51A-A203AF276F73}">
  <dimension ref="A1:N35"/>
  <sheetViews>
    <sheetView showGridLines="0" zoomScaleNormal="100" workbookViewId="0">
      <selection activeCell="D35" sqref="D35"/>
    </sheetView>
  </sheetViews>
  <sheetFormatPr defaultRowHeight="14.5"/>
  <cols>
    <col min="1" max="1" width="19.26953125" bestFit="1" customWidth="1"/>
    <col min="11" max="11" width="6.26953125" bestFit="1" customWidth="1"/>
  </cols>
  <sheetData>
    <row r="1" spans="1:14">
      <c r="A1" s="20" t="s">
        <v>52</v>
      </c>
      <c r="B1" s="490" t="s">
        <v>53</v>
      </c>
      <c r="C1" s="490"/>
      <c r="D1" s="490"/>
      <c r="E1" s="490"/>
      <c r="F1" s="490"/>
      <c r="G1" s="490"/>
      <c r="H1" s="490"/>
      <c r="I1" s="490"/>
      <c r="J1" s="490"/>
      <c r="K1" s="490"/>
      <c r="N1" s="27" t="str">
        <f>HYPERLINK("#Contents!A9","BACK TO CONTENTS")</f>
        <v>BACK TO CONTENTS</v>
      </c>
    </row>
    <row r="2" spans="1:14">
      <c r="B2" s="490"/>
      <c r="C2" s="490"/>
      <c r="D2" s="490"/>
      <c r="E2" s="490"/>
      <c r="F2" s="490"/>
      <c r="G2" s="490"/>
      <c r="H2" s="490"/>
      <c r="I2" s="490"/>
      <c r="J2" s="490"/>
      <c r="K2" s="490"/>
    </row>
    <row r="3" spans="1:14">
      <c r="A3" s="41" t="s">
        <v>22</v>
      </c>
      <c r="B3" s="34"/>
      <c r="C3" s="11"/>
      <c r="D3" s="11"/>
      <c r="E3" s="11"/>
      <c r="F3" s="34"/>
      <c r="G3" s="34"/>
    </row>
    <row r="4" spans="1:14" ht="14.25" customHeight="1" thickBot="1">
      <c r="A4" s="13" t="s">
        <v>23</v>
      </c>
      <c r="B4" s="5">
        <v>2013</v>
      </c>
      <c r="C4" s="5">
        <v>2014</v>
      </c>
      <c r="D4" s="5">
        <v>2015</v>
      </c>
      <c r="E4" s="5">
        <v>2016</v>
      </c>
      <c r="F4" s="5">
        <v>2017</v>
      </c>
      <c r="G4" s="5">
        <v>2018</v>
      </c>
      <c r="H4" s="5">
        <v>2019</v>
      </c>
      <c r="I4" s="14">
        <v>2020</v>
      </c>
      <c r="J4" s="14">
        <v>2021</v>
      </c>
      <c r="K4" s="15">
        <v>2022</v>
      </c>
      <c r="L4" s="15">
        <v>2023</v>
      </c>
    </row>
    <row r="5" spans="1:14" ht="14.25" customHeight="1" thickTop="1">
      <c r="A5" s="43" t="s">
        <v>64</v>
      </c>
      <c r="B5" s="300">
        <f t="shared" ref="B5:L5" si="0">SUM(B7:B13)</f>
        <v>7382.3</v>
      </c>
      <c r="C5" s="300">
        <f t="shared" si="0"/>
        <v>6019</v>
      </c>
      <c r="D5" s="300">
        <f t="shared" si="0"/>
        <v>6759</v>
      </c>
      <c r="E5" s="300">
        <f t="shared" si="0"/>
        <v>5839</v>
      </c>
      <c r="F5" s="300">
        <f t="shared" si="0"/>
        <v>6280</v>
      </c>
      <c r="G5" s="300">
        <f t="shared" si="0"/>
        <v>6585.1749999999993</v>
      </c>
      <c r="H5" s="300">
        <f t="shared" si="0"/>
        <v>6285.5010000000002</v>
      </c>
      <c r="I5" s="300">
        <f t="shared" si="0"/>
        <v>6700.3230000000003</v>
      </c>
      <c r="J5" s="300">
        <f t="shared" si="0"/>
        <v>7780.7290000000003</v>
      </c>
      <c r="K5" s="301">
        <f t="shared" si="0"/>
        <v>9223.606917000001</v>
      </c>
      <c r="L5" s="301">
        <f t="shared" si="0"/>
        <v>7267</v>
      </c>
    </row>
    <row r="6" spans="1:14" ht="14.25" customHeight="1">
      <c r="A6" s="43" t="s">
        <v>417</v>
      </c>
      <c r="B6" s="302">
        <f>'3.11'!B5+'3.21'!B5</f>
        <v>3741</v>
      </c>
      <c r="C6" s="302">
        <f>'3.11'!C5+'3.21'!C5</f>
        <v>3960</v>
      </c>
      <c r="D6" s="302">
        <f>'3.11'!D5+'3.21'!D5</f>
        <v>4631</v>
      </c>
      <c r="E6" s="302">
        <f>'3.11'!E5+'3.21'!E5</f>
        <v>4455</v>
      </c>
      <c r="F6" s="302">
        <f>'3.11'!F5+'3.21'!F5</f>
        <v>4992</v>
      </c>
      <c r="G6" s="302">
        <f>'3.11'!G5+'3.21'!G5</f>
        <v>5450</v>
      </c>
      <c r="H6" s="302">
        <f>'3.11'!H5+'3.21'!H5</f>
        <v>5358</v>
      </c>
      <c r="I6" s="302">
        <f>'3.11'!I5+'3.21'!I5</f>
        <v>5602</v>
      </c>
      <c r="J6" s="302">
        <f>'3.11'!J5+'3.21'!J5</f>
        <v>6035</v>
      </c>
      <c r="K6" s="301">
        <f>'3.11'!K5+'3.21'!K5</f>
        <v>6239</v>
      </c>
      <c r="L6" s="301">
        <f>'3.11'!L5+'3.21'!L5</f>
        <v>4235</v>
      </c>
    </row>
    <row r="7" spans="1:14" ht="14.25" customHeight="1">
      <c r="A7" s="1" t="s">
        <v>41</v>
      </c>
      <c r="B7" s="303">
        <f>'3.11'!B12</f>
        <v>6181.3</v>
      </c>
      <c r="C7" s="303">
        <f>'3.11'!C12</f>
        <v>4794</v>
      </c>
      <c r="D7" s="303">
        <f>'3.11'!D12</f>
        <v>5433</v>
      </c>
      <c r="E7" s="303">
        <f>'3.11'!E12</f>
        <v>4477</v>
      </c>
      <c r="F7" s="303">
        <f>'3.11'!F12</f>
        <v>4906</v>
      </c>
      <c r="G7" s="303">
        <f>'3.11'!G12</f>
        <v>4807.1749999999993</v>
      </c>
      <c r="H7" s="303">
        <f>'3.11'!H12</f>
        <v>4666.5010000000002</v>
      </c>
      <c r="I7" s="303">
        <f>'3.11'!I12</f>
        <v>4960.3230000000003</v>
      </c>
      <c r="J7" s="303">
        <f>'3.11'!J12</f>
        <v>5769.7290000000003</v>
      </c>
      <c r="K7" s="304">
        <f>'3.11'!K12</f>
        <v>5100.6069170000001</v>
      </c>
      <c r="L7" s="304">
        <f>'3.11'!L12</f>
        <v>2909</v>
      </c>
    </row>
    <row r="8" spans="1:14" ht="14.25" customHeight="1">
      <c r="A8" s="1" t="s">
        <v>42</v>
      </c>
      <c r="B8" s="305">
        <f>'3.21'!B9+'3.21'!B20+'3.21'!B21</f>
        <v>832</v>
      </c>
      <c r="C8" s="305">
        <f>'3.21'!C9+'3.21'!C20+'3.21'!C21</f>
        <v>795</v>
      </c>
      <c r="D8" s="305">
        <f>'3.21'!D9+'3.21'!D20+'3.21'!D21</f>
        <v>872</v>
      </c>
      <c r="E8" s="305">
        <f>'3.21'!E9+'3.21'!E20+'3.21'!E21</f>
        <v>845</v>
      </c>
      <c r="F8" s="305">
        <f>'3.21'!F9+'3.21'!F20+'3.21'!F21</f>
        <v>879</v>
      </c>
      <c r="G8" s="305">
        <f>'3.21'!G9+'3.21'!G20+'3.21'!G21</f>
        <v>901</v>
      </c>
      <c r="H8" s="305">
        <f>'3.21'!H9+'3.21'!H20+'3.21'!H21</f>
        <v>946</v>
      </c>
      <c r="I8" s="305">
        <f>'3.21'!I9+'3.21'!I20+'3.21'!I21</f>
        <v>986</v>
      </c>
      <c r="J8" s="305">
        <f>'3.21'!J9+'3.21'!J20+'3.21'!J21</f>
        <v>1000</v>
      </c>
      <c r="K8" s="306">
        <f>'3.21'!K9+'3.21'!K20+'3.21'!K21</f>
        <v>993</v>
      </c>
      <c r="L8" s="304">
        <f>'3.21'!L5</f>
        <v>1326</v>
      </c>
    </row>
    <row r="9" spans="1:14" ht="14.25" customHeight="1">
      <c r="A9" s="1" t="s">
        <v>260</v>
      </c>
      <c r="B9" s="305">
        <f>'3.31'!B9+'3.31'!B19+'3.31'!B20</f>
        <v>27</v>
      </c>
      <c r="C9" s="305">
        <f>'3.31'!C9+'3.31'!C19+'3.31'!C20</f>
        <v>84</v>
      </c>
      <c r="D9" s="305">
        <f>'3.31'!D9+'3.31'!D19+'3.31'!D20</f>
        <v>115</v>
      </c>
      <c r="E9" s="305">
        <f>'3.31'!E9+'3.31'!E19+'3.31'!E20</f>
        <v>133</v>
      </c>
      <c r="F9" s="305">
        <f>'3.31'!F9+'3.31'!F19+'3.31'!F20</f>
        <v>130</v>
      </c>
      <c r="G9" s="305">
        <f>'3.31'!G9+'3.31'!G19+'3.31'!G20</f>
        <v>163</v>
      </c>
      <c r="H9" s="305">
        <f>'3.31'!H9+'3.31'!H19+'3.31'!H20</f>
        <v>235</v>
      </c>
      <c r="I9" s="305">
        <f>'3.31'!I9+'3.31'!I19+'3.31'!I20</f>
        <v>257</v>
      </c>
      <c r="J9" s="305">
        <f>'3.31'!J9+'3.31'!J19+'3.31'!J20</f>
        <v>249</v>
      </c>
      <c r="K9" s="306">
        <f>'3.31'!K9+'3.31'!K19+'3.31'!K20</f>
        <v>356</v>
      </c>
      <c r="L9" s="304">
        <f>'3.31'!L5</f>
        <v>873</v>
      </c>
    </row>
    <row r="10" spans="1:14" ht="14.25" customHeight="1">
      <c r="A10" s="1" t="s">
        <v>301</v>
      </c>
      <c r="B10" s="307">
        <f>'3.52'!B7+'3.52'!B9+'3.52'!B10+'3.52'!B15</f>
        <v>0</v>
      </c>
      <c r="C10" s="307">
        <f>'3.52'!C7+'3.52'!C9+'3.52'!C10+'3.52'!C15</f>
        <v>0</v>
      </c>
      <c r="D10" s="307">
        <f>'3.52'!D7+'3.52'!D9+'3.52'!D10+'3.52'!D15</f>
        <v>0</v>
      </c>
      <c r="E10" s="307">
        <f>'3.52'!E7+'3.52'!E9+'3.52'!E10+'3.52'!E15</f>
        <v>0</v>
      </c>
      <c r="F10" s="307">
        <f>'3.52'!F7+'3.52'!F9+'3.52'!F10+'3.52'!F15</f>
        <v>0</v>
      </c>
      <c r="G10" s="307">
        <f>'3.52'!G7+'3.52'!G9+'3.52'!G10+'3.52'!G15</f>
        <v>333</v>
      </c>
      <c r="H10" s="307">
        <f>'3.52'!H7+'3.52'!H9+'3.52'!H10+'3.52'!H15</f>
        <v>0</v>
      </c>
      <c r="I10" s="307">
        <f>'3.52'!I7+'3.52'!I9+'3.52'!I10+'3.52'!I15</f>
        <v>0</v>
      </c>
      <c r="J10" s="303">
        <f>'3.52'!J7+'3.52'!J9+'3.52'!J10+'3.52'!J15</f>
        <v>271</v>
      </c>
      <c r="K10" s="304">
        <f>'3.52'!K5</f>
        <v>2265</v>
      </c>
      <c r="L10" s="304">
        <f>'3.52'!L5</f>
        <v>1639</v>
      </c>
    </row>
    <row r="11" spans="1:14" ht="14.25" customHeight="1">
      <c r="A11" s="1" t="s">
        <v>45</v>
      </c>
      <c r="B11" s="303">
        <f>'3.41'!B7</f>
        <v>342</v>
      </c>
      <c r="C11" s="303">
        <f>'3.41'!C7</f>
        <v>346</v>
      </c>
      <c r="D11" s="303">
        <f>'3.41'!D7</f>
        <v>339</v>
      </c>
      <c r="E11" s="303">
        <f>'3.41'!E7</f>
        <v>384</v>
      </c>
      <c r="F11" s="303">
        <f>'3.41'!F7</f>
        <v>365</v>
      </c>
      <c r="G11" s="303">
        <f>'3.41'!G7</f>
        <v>381</v>
      </c>
      <c r="H11" s="303">
        <f>'3.41'!H7</f>
        <v>438</v>
      </c>
      <c r="I11" s="303">
        <f>'3.41'!I7</f>
        <v>497</v>
      </c>
      <c r="J11" s="303">
        <f>'3.41'!J7</f>
        <v>491</v>
      </c>
      <c r="K11" s="304">
        <f>'3.41'!K7</f>
        <v>509</v>
      </c>
      <c r="L11" s="304">
        <f>'3.41'!L7</f>
        <v>520</v>
      </c>
    </row>
    <row r="12" spans="1:14" ht="14.25" customHeight="1">
      <c r="A12" s="1" t="s">
        <v>299</v>
      </c>
      <c r="B12" s="297"/>
      <c r="C12" s="297"/>
      <c r="D12" s="297"/>
      <c r="E12" s="297"/>
      <c r="F12" s="297"/>
      <c r="G12" s="297"/>
      <c r="H12" s="297"/>
      <c r="I12" s="297"/>
      <c r="J12" s="297"/>
      <c r="K12" s="298"/>
      <c r="L12" s="298"/>
    </row>
    <row r="13" spans="1:14" ht="14.25" customHeight="1">
      <c r="A13" s="9" t="s">
        <v>300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8"/>
      <c r="L13" s="298"/>
    </row>
    <row r="14" spans="1:14" ht="14.25" customHeight="1">
      <c r="A14" s="16" t="s">
        <v>321</v>
      </c>
      <c r="B14" s="308">
        <f>SUM(B15:B21)</f>
        <v>3435</v>
      </c>
      <c r="C14" s="308">
        <f>SUM(C15:C21)</f>
        <v>2555</v>
      </c>
      <c r="D14" s="308">
        <f>SUM(D15:D21)</f>
        <v>2475</v>
      </c>
      <c r="E14" s="308">
        <f>SUM(E15:E21)</f>
        <v>1964</v>
      </c>
      <c r="F14" s="308">
        <f t="shared" ref="F14:K14" si="1">SUM(F15:F21)</f>
        <v>6934</v>
      </c>
      <c r="G14" s="308">
        <f t="shared" si="1"/>
        <v>5738.2710000000006</v>
      </c>
      <c r="H14" s="308">
        <f t="shared" si="1"/>
        <v>5644.5330000000004</v>
      </c>
      <c r="I14" s="308">
        <f t="shared" si="1"/>
        <v>5972.6530000000002</v>
      </c>
      <c r="J14" s="308">
        <f t="shared" si="1"/>
        <v>5632.4110000000001</v>
      </c>
      <c r="K14" s="309">
        <f t="shared" si="1"/>
        <v>5771.0516729999999</v>
      </c>
      <c r="L14" s="309">
        <f>SUM(L15:L21)</f>
        <v>5761</v>
      </c>
    </row>
    <row r="15" spans="1:14" ht="14.25" customHeight="1">
      <c r="A15" s="1" t="s">
        <v>41</v>
      </c>
      <c r="B15" s="307">
        <f>'3.11'!B21</f>
        <v>2505</v>
      </c>
      <c r="C15" s="307">
        <f>'3.11'!C21</f>
        <v>1590</v>
      </c>
      <c r="D15" s="307">
        <f>'3.11'!D21</f>
        <v>1453</v>
      </c>
      <c r="E15" s="307">
        <f>'3.11'!E21</f>
        <v>808</v>
      </c>
      <c r="F15" s="303">
        <f>'3.11'!F21</f>
        <v>5429</v>
      </c>
      <c r="G15" s="303">
        <f>'3.11'!G21</f>
        <v>4343.2710000000006</v>
      </c>
      <c r="H15" s="303">
        <f>'3.11'!H21</f>
        <v>4096.5330000000004</v>
      </c>
      <c r="I15" s="303">
        <f>'3.11'!I21</f>
        <v>4304.6530000000002</v>
      </c>
      <c r="J15" s="303">
        <f>'3.11'!J21</f>
        <v>4478.4110000000001</v>
      </c>
      <c r="K15" s="304">
        <f>'3.11'!K21</f>
        <v>4513.0516729999999</v>
      </c>
      <c r="L15" s="304">
        <f>'3.11'!L21</f>
        <v>2652</v>
      </c>
    </row>
    <row r="16" spans="1:14" ht="14.25" customHeight="1">
      <c r="A16" s="1" t="s">
        <v>42</v>
      </c>
      <c r="B16" s="310">
        <f>'3.21'!B18</f>
        <v>659</v>
      </c>
      <c r="C16" s="310">
        <f>'3.21'!C18</f>
        <v>669</v>
      </c>
      <c r="D16" s="310">
        <f>'3.21'!D18</f>
        <v>690</v>
      </c>
      <c r="E16" s="310">
        <f>'3.21'!E18</f>
        <v>768</v>
      </c>
      <c r="F16" s="311">
        <f>'3.21'!F18</f>
        <v>844</v>
      </c>
      <c r="G16" s="311">
        <f>'3.21'!G18</f>
        <v>791</v>
      </c>
      <c r="H16" s="311">
        <f>'3.21'!H18</f>
        <v>848</v>
      </c>
      <c r="I16" s="311">
        <f>'3.21'!I18</f>
        <v>824</v>
      </c>
      <c r="J16" s="311">
        <f>'3.21'!J18</f>
        <v>855</v>
      </c>
      <c r="K16" s="312">
        <f>'3.21'!K18</f>
        <v>885</v>
      </c>
      <c r="L16" s="312">
        <f>'3.21'!L18</f>
        <v>619</v>
      </c>
    </row>
    <row r="17" spans="1:13" ht="14.25" customHeight="1">
      <c r="A17" s="1" t="s">
        <v>260</v>
      </c>
      <c r="B17" s="313">
        <f>'3.31'!B17</f>
        <v>24</v>
      </c>
      <c r="C17" s="313">
        <f>'3.31'!C17</f>
        <v>70</v>
      </c>
      <c r="D17" s="313">
        <f>'3.31'!D17</f>
        <v>95</v>
      </c>
      <c r="E17" s="313">
        <f>'3.31'!E17</f>
        <v>124</v>
      </c>
      <c r="F17" s="311">
        <f>'3.31'!F17</f>
        <v>149</v>
      </c>
      <c r="G17" s="311">
        <f>'3.31'!G17</f>
        <v>84</v>
      </c>
      <c r="H17" s="311">
        <f>'3.31'!H17</f>
        <v>202</v>
      </c>
      <c r="I17" s="311">
        <f>'3.31'!I17</f>
        <v>188</v>
      </c>
      <c r="J17" s="311">
        <f>'3.31'!J17</f>
        <v>194</v>
      </c>
      <c r="K17" s="312">
        <f>'3.31'!K17</f>
        <v>306</v>
      </c>
      <c r="L17" s="306">
        <f>'3.31'!L16+'3.31'!L17</f>
        <v>277</v>
      </c>
    </row>
    <row r="18" spans="1:13" ht="14.25" customHeight="1">
      <c r="A18" s="1" t="s">
        <v>301</v>
      </c>
      <c r="B18" s="313">
        <f>'3.52'!B8+'3.52'!B11+'3.52'!B12+'3.52'!B13</f>
        <v>0</v>
      </c>
      <c r="C18" s="313">
        <f>'3.52'!C8+'3.52'!C11+'3.52'!C12+'3.52'!C13</f>
        <v>0</v>
      </c>
      <c r="D18" s="313">
        <f>'3.52'!D8+'3.52'!D11+'3.52'!D12+'3.52'!D13</f>
        <v>0</v>
      </c>
      <c r="E18" s="313">
        <f>'3.52'!E8+'3.52'!E11+'3.52'!E12+'3.52'!E13</f>
        <v>0</v>
      </c>
      <c r="F18" s="311">
        <f>'3.52'!F8+'3.52'!F11+'3.52'!F12+'3.52'!F13</f>
        <v>208</v>
      </c>
      <c r="G18" s="311">
        <f>'3.52'!G8+'3.52'!G11+'3.52'!G12+'3.52'!G13</f>
        <v>-218</v>
      </c>
      <c r="H18" s="311">
        <f>'3.52'!H8+'3.52'!H11+'3.52'!H12+'3.52'!H13</f>
        <v>132</v>
      </c>
      <c r="I18" s="311">
        <f>'3.52'!I8+'3.52'!I11+'3.52'!I12+'3.52'!I13</f>
        <v>251</v>
      </c>
      <c r="J18" s="311">
        <f>'3.52'!J8+'3.52'!J11+'3.52'!J12+'3.52'!J13</f>
        <v>-282</v>
      </c>
      <c r="K18" s="430">
        <f>'3.52'!K8+'3.52'!K11+'3.52'!K12+'3.52'!K13+'3.52'!K14</f>
        <v>-330</v>
      </c>
      <c r="L18" s="430">
        <f>'3.52'!L6+-'3.52'!L12</f>
        <v>1778</v>
      </c>
      <c r="M18" s="431"/>
    </row>
    <row r="19" spans="1:13" ht="14.25" customHeight="1">
      <c r="A19" s="1" t="s">
        <v>45</v>
      </c>
      <c r="B19" s="311">
        <f>'3.41'!B11</f>
        <v>247</v>
      </c>
      <c r="C19" s="311">
        <f>'3.41'!C11</f>
        <v>226</v>
      </c>
      <c r="D19" s="311">
        <f>'3.41'!D11</f>
        <v>237</v>
      </c>
      <c r="E19" s="311">
        <f>'3.41'!E11</f>
        <v>264</v>
      </c>
      <c r="F19" s="311">
        <f>'3.41'!F11</f>
        <v>304</v>
      </c>
      <c r="G19" s="311">
        <f>'3.41'!G11</f>
        <v>738</v>
      </c>
      <c r="H19" s="311">
        <f>'3.41'!H11</f>
        <v>366</v>
      </c>
      <c r="I19" s="311">
        <f>'3.41'!I11</f>
        <v>405</v>
      </c>
      <c r="J19" s="311">
        <f>'3.41'!J11</f>
        <v>387</v>
      </c>
      <c r="K19" s="312">
        <f>'3.41'!K11</f>
        <v>397</v>
      </c>
      <c r="L19" s="312">
        <f>'3.41'!L11</f>
        <v>435</v>
      </c>
    </row>
    <row r="20" spans="1:13" ht="14.25" customHeight="1">
      <c r="A20" s="1" t="s">
        <v>299</v>
      </c>
      <c r="B20" s="297"/>
      <c r="C20" s="297"/>
      <c r="D20" s="297"/>
      <c r="E20" s="297"/>
      <c r="F20" s="297"/>
      <c r="G20" s="297"/>
      <c r="H20" s="297"/>
      <c r="I20" s="297"/>
      <c r="J20" s="297"/>
      <c r="K20" s="298"/>
      <c r="L20" s="298"/>
    </row>
    <row r="21" spans="1:13" ht="14.25" customHeight="1">
      <c r="A21" s="9" t="s">
        <v>300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8"/>
      <c r="L21" s="298"/>
    </row>
    <row r="22" spans="1:13" ht="14.25" customHeight="1">
      <c r="A22" s="16" t="s">
        <v>331</v>
      </c>
      <c r="B22" s="308">
        <f t="shared" ref="B22:J22" si="2">SUM(B24:B29)</f>
        <v>271</v>
      </c>
      <c r="C22" s="308">
        <f t="shared" si="2"/>
        <v>260</v>
      </c>
      <c r="D22" s="308">
        <f t="shared" si="2"/>
        <v>304</v>
      </c>
      <c r="E22" s="308">
        <f t="shared" si="2"/>
        <v>206</v>
      </c>
      <c r="F22" s="308">
        <f t="shared" si="2"/>
        <v>285</v>
      </c>
      <c r="G22" s="308">
        <f t="shared" si="2"/>
        <v>-53</v>
      </c>
      <c r="H22" s="308">
        <f t="shared" si="2"/>
        <v>335</v>
      </c>
      <c r="I22" s="308">
        <f t="shared" si="2"/>
        <v>574</v>
      </c>
      <c r="J22" s="308">
        <f t="shared" si="2"/>
        <v>293</v>
      </c>
      <c r="K22" s="309">
        <f>SUM(K23:K29)</f>
        <v>755.55524400000013</v>
      </c>
      <c r="L22" s="309">
        <f>SUM(L23:L29)</f>
        <v>903</v>
      </c>
    </row>
    <row r="23" spans="1:13" ht="14.25" customHeight="1">
      <c r="A23" s="1" t="s">
        <v>41</v>
      </c>
      <c r="B23" s="310">
        <f t="shared" ref="B23:K23" si="3">B7-B15</f>
        <v>3676.3</v>
      </c>
      <c r="C23" s="310">
        <f t="shared" si="3"/>
        <v>3204</v>
      </c>
      <c r="D23" s="310">
        <f t="shared" si="3"/>
        <v>3980</v>
      </c>
      <c r="E23" s="310">
        <f t="shared" si="3"/>
        <v>3669</v>
      </c>
      <c r="F23" s="310">
        <f t="shared" si="3"/>
        <v>-523</v>
      </c>
      <c r="G23" s="310">
        <f t="shared" si="3"/>
        <v>463.90399999999863</v>
      </c>
      <c r="H23" s="310">
        <f t="shared" si="3"/>
        <v>569.96799999999985</v>
      </c>
      <c r="I23" s="310">
        <f t="shared" si="3"/>
        <v>655.67000000000007</v>
      </c>
      <c r="J23" s="310">
        <f t="shared" si="3"/>
        <v>1291.3180000000002</v>
      </c>
      <c r="K23" s="314">
        <f t="shared" si="3"/>
        <v>587.55524400000013</v>
      </c>
      <c r="L23" s="314">
        <f>'3.11'!L24</f>
        <v>696</v>
      </c>
    </row>
    <row r="24" spans="1:13" ht="14.25" customHeight="1">
      <c r="A24" s="1" t="s">
        <v>42</v>
      </c>
      <c r="B24" s="310">
        <f t="shared" ref="B24:K24" si="4">B8-B16</f>
        <v>173</v>
      </c>
      <c r="C24" s="310">
        <f t="shared" si="4"/>
        <v>126</v>
      </c>
      <c r="D24" s="310">
        <f t="shared" si="4"/>
        <v>182</v>
      </c>
      <c r="E24" s="310">
        <f t="shared" si="4"/>
        <v>77</v>
      </c>
      <c r="F24" s="310">
        <f t="shared" si="4"/>
        <v>35</v>
      </c>
      <c r="G24" s="310">
        <f t="shared" si="4"/>
        <v>110</v>
      </c>
      <c r="H24" s="310">
        <f t="shared" si="4"/>
        <v>98</v>
      </c>
      <c r="I24" s="310">
        <f t="shared" si="4"/>
        <v>162</v>
      </c>
      <c r="J24" s="310">
        <f t="shared" si="4"/>
        <v>145</v>
      </c>
      <c r="K24" s="314">
        <f t="shared" si="4"/>
        <v>108</v>
      </c>
      <c r="L24" s="314">
        <f>'3.21'!L24</f>
        <v>99</v>
      </c>
    </row>
    <row r="25" spans="1:13" ht="14.25" customHeight="1">
      <c r="A25" s="1" t="s">
        <v>260</v>
      </c>
      <c r="B25" s="310">
        <f t="shared" ref="B25:K25" si="5">B9-B17</f>
        <v>3</v>
      </c>
      <c r="C25" s="310">
        <f t="shared" si="5"/>
        <v>14</v>
      </c>
      <c r="D25" s="310">
        <f t="shared" si="5"/>
        <v>20</v>
      </c>
      <c r="E25" s="310">
        <f t="shared" si="5"/>
        <v>9</v>
      </c>
      <c r="F25" s="310">
        <f t="shared" si="5"/>
        <v>-19</v>
      </c>
      <c r="G25" s="310">
        <f t="shared" si="5"/>
        <v>79</v>
      </c>
      <c r="H25" s="310">
        <f t="shared" si="5"/>
        <v>33</v>
      </c>
      <c r="I25" s="310">
        <f t="shared" si="5"/>
        <v>69</v>
      </c>
      <c r="J25" s="310">
        <f t="shared" si="5"/>
        <v>55</v>
      </c>
      <c r="K25" s="314">
        <f t="shared" si="5"/>
        <v>50</v>
      </c>
      <c r="L25" s="314">
        <f>'3.31'!L23</f>
        <v>98</v>
      </c>
    </row>
    <row r="26" spans="1:13" ht="14.25" customHeight="1">
      <c r="A26" s="1" t="s">
        <v>301</v>
      </c>
      <c r="B26" s="310">
        <f t="shared" ref="B26:J26" si="6">B10+B18</f>
        <v>0</v>
      </c>
      <c r="C26" s="310">
        <f t="shared" si="6"/>
        <v>0</v>
      </c>
      <c r="D26" s="310">
        <f t="shared" si="6"/>
        <v>0</v>
      </c>
      <c r="E26" s="310">
        <f t="shared" si="6"/>
        <v>0</v>
      </c>
      <c r="F26" s="310">
        <f t="shared" si="6"/>
        <v>208</v>
      </c>
      <c r="G26" s="310">
        <f t="shared" si="6"/>
        <v>115</v>
      </c>
      <c r="H26" s="310">
        <f t="shared" si="6"/>
        <v>132</v>
      </c>
      <c r="I26" s="310">
        <f t="shared" si="6"/>
        <v>251</v>
      </c>
      <c r="J26" s="310">
        <f t="shared" si="6"/>
        <v>-11</v>
      </c>
      <c r="K26" s="314">
        <f>'3.52'!K16</f>
        <v>-102</v>
      </c>
      <c r="L26" s="314">
        <f>'3.52'!L18</f>
        <v>-56</v>
      </c>
    </row>
    <row r="27" spans="1:13" ht="14.25" customHeight="1">
      <c r="A27" s="1" t="s">
        <v>45</v>
      </c>
      <c r="B27" s="310">
        <f t="shared" ref="B27:K27" si="7">B11-B19</f>
        <v>95</v>
      </c>
      <c r="C27" s="310">
        <f t="shared" si="7"/>
        <v>120</v>
      </c>
      <c r="D27" s="310">
        <f t="shared" si="7"/>
        <v>102</v>
      </c>
      <c r="E27" s="310">
        <f t="shared" si="7"/>
        <v>120</v>
      </c>
      <c r="F27" s="310">
        <f t="shared" si="7"/>
        <v>61</v>
      </c>
      <c r="G27" s="310">
        <f t="shared" si="7"/>
        <v>-357</v>
      </c>
      <c r="H27" s="310">
        <f t="shared" si="7"/>
        <v>72</v>
      </c>
      <c r="I27" s="310">
        <f t="shared" si="7"/>
        <v>92</v>
      </c>
      <c r="J27" s="310">
        <f t="shared" si="7"/>
        <v>104</v>
      </c>
      <c r="K27" s="314">
        <f t="shared" si="7"/>
        <v>112</v>
      </c>
      <c r="L27" s="314">
        <f>'3.41'!L14</f>
        <v>66</v>
      </c>
    </row>
    <row r="28" spans="1:13" ht="14.25" customHeight="1">
      <c r="A28" s="1" t="s">
        <v>299</v>
      </c>
      <c r="B28" s="297"/>
      <c r="C28" s="297"/>
      <c r="D28" s="297"/>
      <c r="E28" s="297"/>
      <c r="F28" s="297"/>
      <c r="G28" s="297"/>
      <c r="H28" s="297"/>
      <c r="I28" s="297"/>
      <c r="J28" s="297"/>
      <c r="K28" s="298"/>
      <c r="L28" s="298"/>
    </row>
    <row r="29" spans="1:13" ht="14.25" customHeight="1">
      <c r="A29" s="48" t="s">
        <v>300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16"/>
      <c r="L29" s="316"/>
    </row>
    <row r="31" spans="1:13">
      <c r="A31" s="180" t="s">
        <v>37</v>
      </c>
      <c r="B31" s="181" t="s">
        <v>308</v>
      </c>
    </row>
    <row r="32" spans="1:13">
      <c r="A32" s="34" t="s">
        <v>38</v>
      </c>
      <c r="B32" s="34" t="s">
        <v>305</v>
      </c>
    </row>
    <row r="33" spans="1:2">
      <c r="A33" s="180" t="s">
        <v>39</v>
      </c>
      <c r="B33" s="181" t="s">
        <v>439</v>
      </c>
    </row>
    <row r="34" spans="1:2">
      <c r="A34" s="180" t="s">
        <v>322</v>
      </c>
      <c r="B34" s="181" t="s">
        <v>440</v>
      </c>
    </row>
    <row r="35" spans="1:2">
      <c r="A35" s="180" t="s">
        <v>332</v>
      </c>
      <c r="B35" s="181" t="s">
        <v>333</v>
      </c>
    </row>
  </sheetData>
  <mergeCells count="1">
    <mergeCell ref="B1:K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83D31-769D-440E-839C-658AE60E8E55}">
  <dimension ref="A1:L17"/>
  <sheetViews>
    <sheetView showGridLines="0" workbookViewId="0">
      <selection activeCell="K1" sqref="K1"/>
    </sheetView>
  </sheetViews>
  <sheetFormatPr defaultRowHeight="14.5"/>
  <cols>
    <col min="1" max="1" width="20.26953125" customWidth="1"/>
  </cols>
  <sheetData>
    <row r="1" spans="1:12">
      <c r="A1" s="20" t="s">
        <v>316</v>
      </c>
      <c r="C1" s="479" t="s">
        <v>309</v>
      </c>
      <c r="D1" s="479"/>
      <c r="E1" s="479"/>
      <c r="F1" s="479"/>
      <c r="G1" s="479"/>
      <c r="H1" s="479"/>
      <c r="I1" s="479"/>
      <c r="K1" s="27" t="str">
        <f>HYPERLINK("#Contents!A4","BACK TO CONTENTS")</f>
        <v>BACK TO CONTENTS</v>
      </c>
    </row>
    <row r="3" spans="1:12">
      <c r="A3" s="20" t="s">
        <v>313</v>
      </c>
    </row>
    <row r="4" spans="1:12" ht="15" thickBot="1">
      <c r="A4" s="13"/>
      <c r="B4" s="5">
        <v>2014</v>
      </c>
      <c r="C4" s="5">
        <v>2015</v>
      </c>
      <c r="D4" s="5">
        <v>2016</v>
      </c>
      <c r="E4" s="5">
        <v>2017</v>
      </c>
      <c r="F4" s="5">
        <v>2018</v>
      </c>
      <c r="G4" s="5">
        <v>2019</v>
      </c>
      <c r="H4" s="5">
        <v>2020</v>
      </c>
      <c r="I4" s="14">
        <v>2021</v>
      </c>
      <c r="J4" s="14">
        <v>2022</v>
      </c>
      <c r="K4" s="18">
        <v>2023</v>
      </c>
      <c r="L4" s="18">
        <v>2024</v>
      </c>
    </row>
    <row r="5" spans="1:12" ht="15" thickTop="1">
      <c r="A5" s="16" t="s">
        <v>445</v>
      </c>
      <c r="B5" s="59">
        <f>SUM(B6:B15)</f>
        <v>0</v>
      </c>
      <c r="C5" s="59">
        <f t="shared" ref="C5:L5" si="0">SUM(C6:C15)</f>
        <v>0</v>
      </c>
      <c r="D5" s="59">
        <f t="shared" si="0"/>
        <v>0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39</v>
      </c>
      <c r="L5" s="120">
        <f t="shared" si="0"/>
        <v>36</v>
      </c>
    </row>
    <row r="6" spans="1:12">
      <c r="A6" s="123" t="s">
        <v>262</v>
      </c>
      <c r="B6" s="464"/>
      <c r="C6" s="464"/>
      <c r="D6" s="464"/>
      <c r="E6" s="464"/>
      <c r="F6" s="464"/>
      <c r="G6" s="464"/>
      <c r="H6" s="464"/>
      <c r="I6" s="464"/>
      <c r="J6" s="464"/>
      <c r="K6" s="124">
        <v>9</v>
      </c>
      <c r="L6" s="124">
        <v>11</v>
      </c>
    </row>
    <row r="7" spans="1:12">
      <c r="A7" s="123" t="s">
        <v>263</v>
      </c>
      <c r="B7" s="464"/>
      <c r="C7" s="464"/>
      <c r="D7" s="464"/>
      <c r="E7" s="464"/>
      <c r="F7" s="464"/>
      <c r="G7" s="464"/>
      <c r="H7" s="464"/>
      <c r="I7" s="464"/>
      <c r="J7" s="464"/>
      <c r="K7" s="124">
        <v>1</v>
      </c>
      <c r="L7" s="124">
        <v>3</v>
      </c>
    </row>
    <row r="8" spans="1:12">
      <c r="A8" s="123" t="s">
        <v>269</v>
      </c>
      <c r="B8" s="464"/>
      <c r="C8" s="464"/>
      <c r="D8" s="464"/>
      <c r="E8" s="464"/>
      <c r="F8" s="464"/>
      <c r="G8" s="464"/>
      <c r="H8" s="464"/>
      <c r="I8" s="464"/>
      <c r="J8" s="464"/>
      <c r="K8" s="124">
        <v>17</v>
      </c>
      <c r="L8" s="124">
        <v>10</v>
      </c>
    </row>
    <row r="9" spans="1:12" ht="23.15" customHeight="1">
      <c r="A9" s="123" t="s">
        <v>271</v>
      </c>
      <c r="B9" s="464"/>
      <c r="C9" s="464"/>
      <c r="D9" s="464"/>
      <c r="E9" s="464"/>
      <c r="F9" s="464"/>
      <c r="G9" s="464"/>
      <c r="H9" s="464"/>
      <c r="I9" s="464"/>
      <c r="J9" s="464"/>
      <c r="K9" s="124">
        <v>0</v>
      </c>
      <c r="L9" s="124">
        <v>1</v>
      </c>
    </row>
    <row r="10" spans="1:12">
      <c r="A10" s="123" t="s">
        <v>265</v>
      </c>
      <c r="B10" s="464"/>
      <c r="C10" s="464"/>
      <c r="D10" s="464"/>
      <c r="E10" s="464"/>
      <c r="F10" s="464"/>
      <c r="G10" s="464"/>
      <c r="H10" s="464"/>
      <c r="I10" s="464"/>
      <c r="J10" s="464"/>
      <c r="K10" s="124">
        <v>0</v>
      </c>
      <c r="L10" s="124">
        <v>0</v>
      </c>
    </row>
    <row r="11" spans="1:12">
      <c r="A11" s="123" t="s">
        <v>264</v>
      </c>
      <c r="B11" s="464"/>
      <c r="C11" s="464"/>
      <c r="D11" s="464"/>
      <c r="E11" s="464"/>
      <c r="F11" s="464"/>
      <c r="G11" s="464"/>
      <c r="H11" s="464"/>
      <c r="I11" s="464"/>
      <c r="J11" s="464"/>
      <c r="K11" s="124">
        <v>12</v>
      </c>
      <c r="L11" s="124">
        <v>7</v>
      </c>
    </row>
    <row r="12" spans="1:12">
      <c r="A12" s="123" t="s">
        <v>270</v>
      </c>
      <c r="B12" s="464"/>
      <c r="C12" s="464"/>
      <c r="D12" s="464"/>
      <c r="E12" s="464"/>
      <c r="F12" s="464"/>
      <c r="G12" s="464"/>
      <c r="H12" s="464"/>
      <c r="I12" s="464"/>
      <c r="J12" s="464"/>
      <c r="K12" s="124">
        <v>0</v>
      </c>
      <c r="L12" s="124">
        <v>0</v>
      </c>
    </row>
    <row r="13" spans="1:12">
      <c r="A13" s="123" t="s">
        <v>266</v>
      </c>
      <c r="B13" s="464"/>
      <c r="C13" s="464"/>
      <c r="D13" s="464"/>
      <c r="E13" s="464"/>
      <c r="F13" s="464"/>
      <c r="G13" s="464"/>
      <c r="H13" s="464"/>
      <c r="I13" s="464"/>
      <c r="J13" s="464"/>
      <c r="K13" s="124">
        <v>0</v>
      </c>
      <c r="L13" s="377">
        <v>3</v>
      </c>
    </row>
    <row r="14" spans="1:12">
      <c r="A14" s="180" t="s">
        <v>319</v>
      </c>
      <c r="B14" s="464"/>
      <c r="C14" s="464"/>
      <c r="D14" s="464"/>
      <c r="E14" s="464"/>
      <c r="F14" s="464"/>
      <c r="G14" s="464"/>
      <c r="H14" s="464"/>
      <c r="I14" s="464"/>
      <c r="J14" s="464"/>
      <c r="K14" s="124">
        <v>0</v>
      </c>
      <c r="L14" s="377">
        <v>1</v>
      </c>
    </row>
    <row r="15" spans="1:12">
      <c r="A15" s="125" t="s">
        <v>320</v>
      </c>
      <c r="B15" s="465"/>
      <c r="C15" s="465"/>
      <c r="D15" s="465"/>
      <c r="E15" s="465"/>
      <c r="F15" s="465"/>
      <c r="G15" s="465"/>
      <c r="H15" s="465"/>
      <c r="I15" s="465"/>
      <c r="J15" s="465"/>
      <c r="K15" s="127">
        <v>0</v>
      </c>
      <c r="L15" s="378">
        <v>0</v>
      </c>
    </row>
    <row r="17" spans="1:2">
      <c r="A17" s="180" t="s">
        <v>336</v>
      </c>
      <c r="B17" s="34" t="s">
        <v>442</v>
      </c>
    </row>
  </sheetData>
  <mergeCells count="1">
    <mergeCell ref="C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1F7BC-E453-49C2-82B9-9A5A2C0CF97C}">
  <dimension ref="A1:M31"/>
  <sheetViews>
    <sheetView showGridLines="0" zoomScale="90" zoomScaleNormal="90" workbookViewId="0">
      <selection activeCell="B1" sqref="B1:G1"/>
    </sheetView>
  </sheetViews>
  <sheetFormatPr defaultRowHeight="14.5"/>
  <cols>
    <col min="1" max="1" width="32.1796875" customWidth="1"/>
    <col min="2" max="6" width="14.26953125" customWidth="1"/>
    <col min="7" max="7" width="9.1796875" customWidth="1"/>
    <col min="8" max="8" width="11" customWidth="1"/>
    <col min="9" max="10" width="12.1796875" customWidth="1"/>
    <col min="11" max="11" width="13.26953125" customWidth="1"/>
    <col min="12" max="12" width="12.1796875" bestFit="1" customWidth="1"/>
  </cols>
  <sheetData>
    <row r="1" spans="1:12">
      <c r="A1" s="20" t="s">
        <v>54</v>
      </c>
      <c r="B1" s="479" t="s">
        <v>55</v>
      </c>
      <c r="C1" s="486"/>
      <c r="D1" s="486"/>
      <c r="E1" s="486"/>
      <c r="F1" s="486"/>
      <c r="G1" s="486"/>
      <c r="I1" s="27" t="str">
        <f>HYPERLINK("#Contents!A9","BACK TO CONTENTS")</f>
        <v>BACK TO CONTENTS</v>
      </c>
      <c r="J1" s="27"/>
    </row>
    <row r="3" spans="1:12">
      <c r="A3" s="20" t="s">
        <v>56</v>
      </c>
      <c r="B3" s="19"/>
      <c r="C3" s="19"/>
      <c r="D3" s="19"/>
      <c r="E3" s="19"/>
      <c r="F3" s="19"/>
    </row>
    <row r="4" spans="1:12" ht="14.25" customHeight="1" thickBot="1">
      <c r="A4" s="78" t="s">
        <v>303</v>
      </c>
      <c r="B4" s="79">
        <v>2013</v>
      </c>
      <c r="C4" s="79">
        <v>2014</v>
      </c>
      <c r="D4" s="79">
        <v>2015</v>
      </c>
      <c r="E4" s="79">
        <v>2016</v>
      </c>
      <c r="F4" s="89">
        <v>2017</v>
      </c>
      <c r="G4" s="89">
        <v>2018</v>
      </c>
      <c r="H4" s="89">
        <v>2019</v>
      </c>
      <c r="I4" s="89">
        <v>2020</v>
      </c>
      <c r="J4" s="79">
        <v>2021</v>
      </c>
      <c r="K4" s="91">
        <v>2022</v>
      </c>
      <c r="L4" s="91">
        <v>2023</v>
      </c>
    </row>
    <row r="5" spans="1:12" ht="14.25" customHeight="1" thickTop="1">
      <c r="A5" s="128" t="s">
        <v>326</v>
      </c>
      <c r="B5" s="203">
        <v>2565</v>
      </c>
      <c r="C5" s="203">
        <v>2761</v>
      </c>
      <c r="D5" s="203">
        <v>3336</v>
      </c>
      <c r="E5" s="203">
        <v>3163</v>
      </c>
      <c r="F5" s="204">
        <v>3730</v>
      </c>
      <c r="G5" s="204">
        <v>4084</v>
      </c>
      <c r="H5" s="204">
        <v>3856</v>
      </c>
      <c r="I5" s="204">
        <v>4133</v>
      </c>
      <c r="J5" s="203">
        <v>4416</v>
      </c>
      <c r="K5" s="205">
        <v>4507</v>
      </c>
      <c r="L5" s="205">
        <v>2909</v>
      </c>
    </row>
    <row r="6" spans="1:12" ht="14.25" customHeight="1">
      <c r="A6" s="129" t="s">
        <v>58</v>
      </c>
      <c r="B6" s="206">
        <v>74</v>
      </c>
      <c r="C6" s="206">
        <v>112</v>
      </c>
      <c r="D6" s="206">
        <v>76</v>
      </c>
      <c r="E6" s="206">
        <v>83</v>
      </c>
      <c r="F6" s="206">
        <v>107</v>
      </c>
      <c r="G6" s="206">
        <v>105.316</v>
      </c>
      <c r="H6" s="206">
        <v>124.00700000000001</v>
      </c>
      <c r="I6" s="206">
        <v>113.349</v>
      </c>
      <c r="J6" s="206">
        <v>136.32</v>
      </c>
      <c r="K6" s="207">
        <v>187.98137700000001</v>
      </c>
      <c r="L6" s="434"/>
    </row>
    <row r="7" spans="1:12" ht="14.25" customHeight="1">
      <c r="A7" s="129" t="s">
        <v>59</v>
      </c>
      <c r="B7" s="206">
        <v>2491</v>
      </c>
      <c r="C7" s="206">
        <v>2649</v>
      </c>
      <c r="D7" s="206">
        <v>3260</v>
      </c>
      <c r="E7" s="206">
        <v>3080</v>
      </c>
      <c r="F7" s="206">
        <v>3623</v>
      </c>
      <c r="G7" s="206">
        <v>3979.681</v>
      </c>
      <c r="H7" s="206">
        <v>3742.817</v>
      </c>
      <c r="I7" s="206">
        <v>3997.6370000000002</v>
      </c>
      <c r="J7" s="206">
        <v>4279.277</v>
      </c>
      <c r="K7" s="207">
        <v>4319.0746250000002</v>
      </c>
      <c r="L7" s="434"/>
    </row>
    <row r="8" spans="1:12" ht="14.25" customHeight="1">
      <c r="A8" s="129" t="s">
        <v>60</v>
      </c>
      <c r="B8" s="206">
        <v>3569</v>
      </c>
      <c r="C8" s="206">
        <v>1814</v>
      </c>
      <c r="D8" s="206">
        <v>1244</v>
      </c>
      <c r="E8" s="206">
        <v>1055</v>
      </c>
      <c r="F8" s="206">
        <v>1149</v>
      </c>
      <c r="G8" s="206">
        <v>646.05399999999997</v>
      </c>
      <c r="H8" s="206">
        <v>752.88400000000001</v>
      </c>
      <c r="I8" s="206">
        <v>865.49</v>
      </c>
      <c r="J8" s="206">
        <v>913.91200000000003</v>
      </c>
      <c r="K8" s="207">
        <v>561.21263799999997</v>
      </c>
      <c r="L8" s="434"/>
    </row>
    <row r="9" spans="1:12" ht="14.25" customHeight="1">
      <c r="A9" s="129" t="s">
        <v>61</v>
      </c>
      <c r="B9" s="206">
        <v>23</v>
      </c>
      <c r="C9" s="206">
        <v>29</v>
      </c>
      <c r="D9" s="206">
        <v>35</v>
      </c>
      <c r="E9" s="206">
        <v>43</v>
      </c>
      <c r="F9" s="206">
        <v>0</v>
      </c>
      <c r="G9" s="206">
        <v>37.524999999999999</v>
      </c>
      <c r="H9" s="206">
        <v>69.028000000000006</v>
      </c>
      <c r="I9" s="206">
        <v>68.763000000000005</v>
      </c>
      <c r="J9" s="206">
        <v>229.09800000000001</v>
      </c>
      <c r="K9" s="207">
        <v>160.87671499999999</v>
      </c>
      <c r="L9" s="434"/>
    </row>
    <row r="10" spans="1:12" ht="14.25" customHeight="1">
      <c r="A10" s="129" t="s">
        <v>62</v>
      </c>
      <c r="B10" s="206">
        <v>0.3</v>
      </c>
      <c r="C10" s="206">
        <v>1</v>
      </c>
      <c r="D10" s="206">
        <v>4</v>
      </c>
      <c r="E10" s="206">
        <v>3</v>
      </c>
      <c r="F10" s="206">
        <v>4</v>
      </c>
      <c r="G10" s="206">
        <v>3.5449999999999999</v>
      </c>
      <c r="H10" s="206">
        <v>3.6389999999999998</v>
      </c>
      <c r="I10" s="206">
        <v>5.31</v>
      </c>
      <c r="J10" s="206">
        <v>5.3730000000000002</v>
      </c>
      <c r="K10" s="207">
        <v>6.2241299999999997</v>
      </c>
      <c r="L10" s="434"/>
    </row>
    <row r="11" spans="1:12" ht="14.25" customHeight="1">
      <c r="A11" s="129" t="s">
        <v>63</v>
      </c>
      <c r="B11" s="206">
        <v>98</v>
      </c>
      <c r="C11" s="206">
        <v>301</v>
      </c>
      <c r="D11" s="206">
        <v>890</v>
      </c>
      <c r="E11" s="206">
        <v>296</v>
      </c>
      <c r="F11" s="206">
        <v>130</v>
      </c>
      <c r="G11" s="206">
        <v>140.37</v>
      </c>
      <c r="H11" s="206">
        <v>98.132999999999996</v>
      </c>
      <c r="I11" s="206">
        <v>23.123000000000001</v>
      </c>
      <c r="J11" s="206">
        <v>342.06900000000002</v>
      </c>
      <c r="K11" s="207">
        <v>53.218809</v>
      </c>
      <c r="L11" s="434"/>
    </row>
    <row r="12" spans="1:12" ht="14.25" customHeight="1">
      <c r="A12" s="85" t="s">
        <v>441</v>
      </c>
      <c r="B12" s="208">
        <f t="shared" ref="B12:K12" si="0">SUM(B7:B11)</f>
        <v>6181.3</v>
      </c>
      <c r="C12" s="208">
        <f t="shared" si="0"/>
        <v>4794</v>
      </c>
      <c r="D12" s="208">
        <f t="shared" si="0"/>
        <v>5433</v>
      </c>
      <c r="E12" s="208">
        <f t="shared" si="0"/>
        <v>4477</v>
      </c>
      <c r="F12" s="208">
        <f t="shared" si="0"/>
        <v>4906</v>
      </c>
      <c r="G12" s="208">
        <f t="shared" si="0"/>
        <v>4807.1749999999993</v>
      </c>
      <c r="H12" s="208">
        <f t="shared" si="0"/>
        <v>4666.5010000000002</v>
      </c>
      <c r="I12" s="208">
        <f t="shared" si="0"/>
        <v>4960.3230000000003</v>
      </c>
      <c r="J12" s="208">
        <f t="shared" si="0"/>
        <v>5769.7290000000003</v>
      </c>
      <c r="K12" s="209">
        <f t="shared" si="0"/>
        <v>5100.6069170000001</v>
      </c>
      <c r="L12" s="209">
        <v>2909</v>
      </c>
    </row>
    <row r="13" spans="1:12" ht="14.25" customHeight="1">
      <c r="A13" s="129" t="s">
        <v>65</v>
      </c>
      <c r="B13" s="210"/>
      <c r="C13" s="210"/>
      <c r="D13" s="210"/>
      <c r="E13" s="210"/>
      <c r="F13" s="206">
        <v>0</v>
      </c>
      <c r="G13" s="206">
        <v>2019.461</v>
      </c>
      <c r="H13" s="206">
        <v>2147.502</v>
      </c>
      <c r="I13" s="206">
        <v>2174.549</v>
      </c>
      <c r="J13" s="206">
        <v>3240.942</v>
      </c>
      <c r="K13" s="207">
        <v>2863.2069219999998</v>
      </c>
      <c r="L13" s="434"/>
    </row>
    <row r="14" spans="1:12" ht="14.25" customHeight="1">
      <c r="A14" s="129" t="s">
        <v>66</v>
      </c>
      <c r="B14" s="210"/>
      <c r="C14" s="210"/>
      <c r="D14" s="210"/>
      <c r="E14" s="210"/>
      <c r="F14" s="206">
        <v>0</v>
      </c>
      <c r="G14" s="206">
        <v>1058.6600000000001</v>
      </c>
      <c r="H14" s="206">
        <v>616.471</v>
      </c>
      <c r="I14" s="206">
        <v>367.62799999999999</v>
      </c>
      <c r="J14" s="206">
        <v>-81.706000000000003</v>
      </c>
      <c r="K14" s="207">
        <v>141.29912400000001</v>
      </c>
      <c r="L14" s="434"/>
    </row>
    <row r="15" spans="1:12" ht="14.25" customHeight="1">
      <c r="A15" s="129" t="s">
        <v>67</v>
      </c>
      <c r="B15" s="210"/>
      <c r="C15" s="210"/>
      <c r="D15" s="210"/>
      <c r="E15" s="210"/>
      <c r="F15" s="206">
        <v>623</v>
      </c>
      <c r="G15" s="206">
        <v>669.92700000000002</v>
      </c>
      <c r="H15" s="206">
        <v>771.11</v>
      </c>
      <c r="I15" s="206">
        <v>753.02499999999998</v>
      </c>
      <c r="J15" s="206">
        <v>811.00699999999995</v>
      </c>
      <c r="K15" s="207">
        <v>877.31825700000002</v>
      </c>
      <c r="L15" s="434"/>
    </row>
    <row r="16" spans="1:12" ht="14.25" customHeight="1">
      <c r="A16" s="129" t="s">
        <v>68</v>
      </c>
      <c r="B16" s="206">
        <v>2505</v>
      </c>
      <c r="C16" s="206">
        <v>1590</v>
      </c>
      <c r="D16" s="206">
        <v>1453</v>
      </c>
      <c r="E16" s="206">
        <v>808</v>
      </c>
      <c r="F16" s="206">
        <v>798</v>
      </c>
      <c r="G16" s="206">
        <v>467.61399999999998</v>
      </c>
      <c r="H16" s="206">
        <v>534.61099999999999</v>
      </c>
      <c r="I16" s="206">
        <v>544.58299999999997</v>
      </c>
      <c r="J16" s="206">
        <v>507.14499999999998</v>
      </c>
      <c r="K16" s="207">
        <v>610.32500600000003</v>
      </c>
      <c r="L16" s="207">
        <v>114</v>
      </c>
    </row>
    <row r="17" spans="1:13" ht="14.25" customHeight="1">
      <c r="A17" s="129" t="s">
        <v>69</v>
      </c>
      <c r="B17" s="210"/>
      <c r="C17" s="210"/>
      <c r="D17" s="210"/>
      <c r="E17" s="210"/>
      <c r="F17" s="206">
        <v>4008</v>
      </c>
      <c r="G17" s="206">
        <v>0</v>
      </c>
      <c r="H17" s="206">
        <v>0</v>
      </c>
      <c r="I17" s="206">
        <v>-1.079</v>
      </c>
      <c r="J17" s="206">
        <v>0</v>
      </c>
      <c r="K17" s="207">
        <v>0</v>
      </c>
      <c r="L17" s="434"/>
    </row>
    <row r="18" spans="1:13" ht="14.25" customHeight="1">
      <c r="A18" s="129" t="s">
        <v>70</v>
      </c>
      <c r="B18" s="210"/>
      <c r="C18" s="210"/>
      <c r="D18" s="210"/>
      <c r="E18" s="210"/>
      <c r="F18" s="206">
        <v>0</v>
      </c>
      <c r="G18" s="206">
        <v>127.60899999999999</v>
      </c>
      <c r="H18" s="206">
        <v>26.838999999999999</v>
      </c>
      <c r="I18" s="206">
        <v>465.947</v>
      </c>
      <c r="J18" s="206">
        <v>1.0229999999999999</v>
      </c>
      <c r="K18" s="207">
        <v>20.902363999999999</v>
      </c>
      <c r="L18" s="434"/>
    </row>
    <row r="19" spans="1:13" ht="14.25" customHeight="1">
      <c r="A19" s="129" t="s">
        <v>71</v>
      </c>
      <c r="B19" s="210"/>
      <c r="C19" s="210"/>
      <c r="D19" s="210"/>
      <c r="E19" s="210"/>
      <c r="F19" s="206">
        <v>1758</v>
      </c>
      <c r="G19" s="206">
        <v>1981.9359999999999</v>
      </c>
      <c r="H19" s="206">
        <v>2078.4740000000002</v>
      </c>
      <c r="I19" s="206">
        <v>2105.7849999999999</v>
      </c>
      <c r="J19" s="206">
        <v>3011.8440000000001</v>
      </c>
      <c r="K19" s="207">
        <v>2702.330207</v>
      </c>
      <c r="L19" s="434"/>
    </row>
    <row r="20" spans="1:13" ht="14.25" customHeight="1">
      <c r="A20" s="129" t="s">
        <v>72</v>
      </c>
      <c r="B20" s="206">
        <v>412</v>
      </c>
      <c r="C20" s="206">
        <v>368</v>
      </c>
      <c r="D20" s="206">
        <v>93</v>
      </c>
      <c r="E20" s="206">
        <v>581</v>
      </c>
      <c r="F20" s="206">
        <v>619</v>
      </c>
      <c r="G20" s="206">
        <v>666.38199999999995</v>
      </c>
      <c r="H20" s="206">
        <v>768.56100000000004</v>
      </c>
      <c r="I20" s="206">
        <v>747.71600000000001</v>
      </c>
      <c r="J20" s="206">
        <v>810.10900000000004</v>
      </c>
      <c r="K20" s="207">
        <v>871.09412699999996</v>
      </c>
      <c r="L20" s="207">
        <v>2538</v>
      </c>
    </row>
    <row r="21" spans="1:13" ht="14.25" customHeight="1">
      <c r="A21" s="85" t="s">
        <v>329</v>
      </c>
      <c r="B21" s="208">
        <f t="shared" ref="B21:K21" si="1">SUM(B13:B18)</f>
        <v>2505</v>
      </c>
      <c r="C21" s="208">
        <f t="shared" si="1"/>
        <v>1590</v>
      </c>
      <c r="D21" s="208">
        <f t="shared" si="1"/>
        <v>1453</v>
      </c>
      <c r="E21" s="208">
        <f t="shared" si="1"/>
        <v>808</v>
      </c>
      <c r="F21" s="208">
        <f t="shared" si="1"/>
        <v>5429</v>
      </c>
      <c r="G21" s="208">
        <f t="shared" si="1"/>
        <v>4343.2710000000006</v>
      </c>
      <c r="H21" s="208">
        <f t="shared" si="1"/>
        <v>4096.5330000000004</v>
      </c>
      <c r="I21" s="208">
        <f t="shared" si="1"/>
        <v>4304.6530000000002</v>
      </c>
      <c r="J21" s="208">
        <f t="shared" si="1"/>
        <v>4478.4110000000001</v>
      </c>
      <c r="K21" s="209">
        <f t="shared" si="1"/>
        <v>4513.0516729999999</v>
      </c>
      <c r="L21" s="209">
        <f>L16+L20</f>
        <v>2652</v>
      </c>
    </row>
    <row r="22" spans="1:13" ht="14.25" customHeight="1">
      <c r="A22" s="129" t="s">
        <v>74</v>
      </c>
      <c r="B22" s="206">
        <v>557</v>
      </c>
      <c r="C22" s="206">
        <v>733</v>
      </c>
      <c r="D22" s="206">
        <v>891</v>
      </c>
      <c r="E22" s="206">
        <v>701</v>
      </c>
      <c r="F22" s="206">
        <v>703</v>
      </c>
      <c r="G22" s="206">
        <v>463.90300000000002</v>
      </c>
      <c r="H22" s="206">
        <v>569.96900000000005</v>
      </c>
      <c r="I22" s="206">
        <v>655.66899999999998</v>
      </c>
      <c r="J22" s="206">
        <v>268.87700000000001</v>
      </c>
      <c r="K22" s="207">
        <v>587.55524400000002</v>
      </c>
      <c r="L22" s="435">
        <v>696</v>
      </c>
      <c r="M22" s="370"/>
    </row>
    <row r="23" spans="1:13" ht="14.25" customHeight="1">
      <c r="A23" s="129" t="s">
        <v>75</v>
      </c>
      <c r="B23" s="206">
        <v>104</v>
      </c>
      <c r="C23" s="206">
        <v>134</v>
      </c>
      <c r="D23" s="206">
        <v>147</v>
      </c>
      <c r="E23" s="206">
        <v>127</v>
      </c>
      <c r="F23" s="206">
        <v>121</v>
      </c>
      <c r="G23" s="206">
        <v>121.458</v>
      </c>
      <c r="H23" s="206">
        <v>118.864</v>
      </c>
      <c r="I23" s="206">
        <v>122.48</v>
      </c>
      <c r="J23" s="206">
        <v>62.93</v>
      </c>
      <c r="K23" s="207">
        <v>109.228616</v>
      </c>
      <c r="L23" s="207">
        <v>235</v>
      </c>
    </row>
    <row r="24" spans="1:13" ht="14.25" customHeight="1">
      <c r="A24" s="130" t="s">
        <v>76</v>
      </c>
      <c r="B24" s="211">
        <v>453</v>
      </c>
      <c r="C24" s="211">
        <v>564</v>
      </c>
      <c r="D24" s="211">
        <v>744</v>
      </c>
      <c r="E24" s="211">
        <v>574</v>
      </c>
      <c r="F24" s="211">
        <v>582</v>
      </c>
      <c r="G24" s="211">
        <v>342.44499999999999</v>
      </c>
      <c r="H24" s="211">
        <v>451.10500000000002</v>
      </c>
      <c r="I24" s="211">
        <v>533.18899999999996</v>
      </c>
      <c r="J24" s="211">
        <v>230.10499999999999</v>
      </c>
      <c r="K24" s="212">
        <v>474.02462800000001</v>
      </c>
      <c r="L24" s="212">
        <v>696</v>
      </c>
    </row>
    <row r="26" spans="1:13">
      <c r="A26" s="180" t="s">
        <v>37</v>
      </c>
      <c r="B26" s="181" t="s">
        <v>442</v>
      </c>
    </row>
    <row r="28" spans="1:13">
      <c r="A28" s="180" t="s">
        <v>38</v>
      </c>
      <c r="B28" s="181" t="s">
        <v>327</v>
      </c>
      <c r="C28" s="181"/>
      <c r="D28" s="181"/>
    </row>
    <row r="29" spans="1:13">
      <c r="A29" s="180" t="s">
        <v>39</v>
      </c>
      <c r="B29" s="181" t="s">
        <v>328</v>
      </c>
      <c r="C29" s="181"/>
      <c r="D29" s="181"/>
    </row>
    <row r="30" spans="1:13">
      <c r="A30" s="180" t="s">
        <v>322</v>
      </c>
      <c r="B30" s="181" t="s">
        <v>395</v>
      </c>
      <c r="C30" s="181"/>
      <c r="D30" s="181"/>
    </row>
    <row r="31" spans="1:13">
      <c r="A31" s="26"/>
      <c r="B31" s="181"/>
      <c r="C31" s="181"/>
      <c r="D31" s="181"/>
    </row>
  </sheetData>
  <protectedRanges>
    <protectedRange sqref="A6:K11 A13:K20 A22:K24" name="Range1"/>
  </protectedRanges>
  <mergeCells count="1">
    <mergeCell ref="B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A9D9B-2179-4BB9-874B-ED878C84C532}">
  <dimension ref="A1:L20"/>
  <sheetViews>
    <sheetView showGridLines="0" zoomScaleNormal="100" workbookViewId="0">
      <selection activeCell="M18" sqref="M18"/>
    </sheetView>
  </sheetViews>
  <sheetFormatPr defaultColWidth="9.1796875" defaultRowHeight="14"/>
  <cols>
    <col min="1" max="1" width="20.1796875" style="19" bestFit="1" customWidth="1"/>
    <col min="2" max="2" width="6.453125" style="19" bestFit="1" customWidth="1"/>
    <col min="3" max="3" width="9.1796875" style="19"/>
    <col min="4" max="4" width="10.26953125" style="19" customWidth="1"/>
    <col min="5" max="5" width="8.1796875" style="19" customWidth="1"/>
    <col min="6" max="6" width="7.453125" style="19" customWidth="1"/>
    <col min="7" max="7" width="9" style="19" customWidth="1"/>
    <col min="8" max="16384" width="9.1796875" style="19"/>
  </cols>
  <sheetData>
    <row r="1" spans="1:12" ht="14.5">
      <c r="A1" s="20" t="s">
        <v>77</v>
      </c>
      <c r="B1" s="479" t="s">
        <v>78</v>
      </c>
      <c r="C1" s="480"/>
      <c r="D1" s="480"/>
      <c r="E1" s="480"/>
      <c r="F1" s="480"/>
      <c r="G1" s="480"/>
      <c r="I1" s="27" t="str">
        <f>HYPERLINK("#Contents!A9","BACK TO CONTENTS")</f>
        <v>BACK TO CONTENTS</v>
      </c>
    </row>
    <row r="3" spans="1:12">
      <c r="A3" s="20" t="s">
        <v>56</v>
      </c>
    </row>
    <row r="4" spans="1:12" ht="14.25" customHeight="1" thickBot="1">
      <c r="A4" s="13" t="s">
        <v>443</v>
      </c>
      <c r="B4" s="5">
        <v>2013</v>
      </c>
      <c r="C4" s="5">
        <v>2014</v>
      </c>
      <c r="D4" s="5">
        <v>2015</v>
      </c>
      <c r="E4" s="5">
        <v>2016</v>
      </c>
      <c r="F4" s="14">
        <v>2017</v>
      </c>
      <c r="G4" s="14">
        <v>2018</v>
      </c>
      <c r="H4" s="14">
        <v>2019</v>
      </c>
      <c r="I4" s="14">
        <v>2020</v>
      </c>
      <c r="J4" s="14">
        <v>2021</v>
      </c>
      <c r="K4" s="18">
        <v>2022</v>
      </c>
      <c r="L4" s="18">
        <v>2023</v>
      </c>
    </row>
    <row r="5" spans="1:12" ht="14.25" customHeight="1" thickTop="1">
      <c r="A5" s="21" t="s">
        <v>79</v>
      </c>
      <c r="B5" s="213">
        <v>516</v>
      </c>
      <c r="C5" s="213">
        <v>505</v>
      </c>
      <c r="D5" s="213">
        <v>615</v>
      </c>
      <c r="E5" s="213">
        <v>757</v>
      </c>
      <c r="F5" s="213">
        <v>988</v>
      </c>
      <c r="G5" s="213">
        <v>824.93899999999996</v>
      </c>
      <c r="H5" s="213">
        <v>2069.1869999999999</v>
      </c>
      <c r="I5" s="213">
        <v>1142.5740000000001</v>
      </c>
      <c r="J5" s="213">
        <v>1135.4190000000001</v>
      </c>
      <c r="K5" s="214">
        <v>1251.7024899999999</v>
      </c>
      <c r="L5" s="436"/>
    </row>
    <row r="6" spans="1:12" ht="14.25" customHeight="1">
      <c r="A6" s="21" t="s">
        <v>80</v>
      </c>
      <c r="B6" s="213">
        <v>265</v>
      </c>
      <c r="C6" s="213">
        <v>147</v>
      </c>
      <c r="D6" s="213">
        <v>298</v>
      </c>
      <c r="E6" s="213">
        <v>15585</v>
      </c>
      <c r="F6" s="213">
        <v>12100</v>
      </c>
      <c r="G6" s="213">
        <v>12503.135</v>
      </c>
      <c r="H6" s="213">
        <v>989.63699999999994</v>
      </c>
      <c r="I6" s="213">
        <v>13263.672</v>
      </c>
      <c r="J6" s="213">
        <v>12801.867</v>
      </c>
      <c r="K6" s="214">
        <v>12622.962254</v>
      </c>
      <c r="L6" s="436"/>
    </row>
    <row r="7" spans="1:12" ht="14.25" customHeight="1">
      <c r="A7" s="21" t="s">
        <v>81</v>
      </c>
      <c r="B7" s="213">
        <v>17067</v>
      </c>
      <c r="C7" s="213">
        <v>19133</v>
      </c>
      <c r="D7" s="213">
        <v>18554</v>
      </c>
      <c r="E7" s="213">
        <v>2951</v>
      </c>
      <c r="F7" s="213">
        <v>2303</v>
      </c>
      <c r="G7" s="213">
        <v>2894.165</v>
      </c>
      <c r="H7" s="213">
        <v>14123.967000000001</v>
      </c>
      <c r="I7" s="213">
        <v>3634.3339999999998</v>
      </c>
      <c r="J7" s="213">
        <v>4467.4189999999999</v>
      </c>
      <c r="K7" s="214">
        <v>5176.8354330000002</v>
      </c>
      <c r="L7" s="436"/>
    </row>
    <row r="8" spans="1:12" ht="14.25" customHeight="1">
      <c r="A8" s="30" t="s">
        <v>82</v>
      </c>
      <c r="B8" s="215">
        <f t="shared" ref="B8:K8" si="0">SUM(B5:B7)</f>
        <v>17848</v>
      </c>
      <c r="C8" s="215">
        <f t="shared" si="0"/>
        <v>19785</v>
      </c>
      <c r="D8" s="215">
        <f t="shared" si="0"/>
        <v>19467</v>
      </c>
      <c r="E8" s="215">
        <f t="shared" si="0"/>
        <v>19293</v>
      </c>
      <c r="F8" s="215">
        <f t="shared" si="0"/>
        <v>15391</v>
      </c>
      <c r="G8" s="215">
        <f t="shared" si="0"/>
        <v>16222.239000000001</v>
      </c>
      <c r="H8" s="215">
        <f t="shared" si="0"/>
        <v>17182.791000000001</v>
      </c>
      <c r="I8" s="215">
        <f t="shared" si="0"/>
        <v>18040.580000000002</v>
      </c>
      <c r="J8" s="215">
        <f t="shared" si="0"/>
        <v>18404.705000000002</v>
      </c>
      <c r="K8" s="216">
        <f t="shared" si="0"/>
        <v>19051.500177000002</v>
      </c>
      <c r="L8" s="216">
        <v>16683</v>
      </c>
    </row>
    <row r="9" spans="1:12" ht="14.25" customHeight="1">
      <c r="A9" s="21" t="s">
        <v>83</v>
      </c>
      <c r="B9" s="213">
        <v>15355</v>
      </c>
      <c r="C9" s="213">
        <v>16389</v>
      </c>
      <c r="D9" s="213">
        <v>15815</v>
      </c>
      <c r="E9" s="213">
        <v>6764</v>
      </c>
      <c r="F9" s="213">
        <v>17387</v>
      </c>
      <c r="G9" s="213">
        <v>12705.181</v>
      </c>
      <c r="H9" s="213">
        <v>13363.534</v>
      </c>
      <c r="I9" s="213">
        <v>13779.885</v>
      </c>
      <c r="J9" s="213">
        <v>14211.155000000001</v>
      </c>
      <c r="K9" s="214">
        <v>14578.805023000001</v>
      </c>
      <c r="L9" s="436"/>
    </row>
    <row r="10" spans="1:12" ht="14.25" customHeight="1">
      <c r="A10" s="21" t="s">
        <v>84</v>
      </c>
      <c r="B10" s="213">
        <v>0</v>
      </c>
      <c r="C10" s="213">
        <v>0</v>
      </c>
      <c r="D10" s="213">
        <v>13</v>
      </c>
      <c r="E10" s="213">
        <v>8923</v>
      </c>
      <c r="F10" s="213">
        <v>106</v>
      </c>
      <c r="G10" s="213">
        <v>185.86500000000001</v>
      </c>
      <c r="H10" s="213">
        <v>250.56100000000001</v>
      </c>
      <c r="I10" s="213">
        <v>310.17899999999997</v>
      </c>
      <c r="J10" s="213">
        <v>13.930999999999999</v>
      </c>
      <c r="K10" s="214">
        <v>15.988325</v>
      </c>
      <c r="L10" s="436"/>
    </row>
    <row r="11" spans="1:12" ht="14.25" customHeight="1">
      <c r="A11" s="21" t="s">
        <v>85</v>
      </c>
      <c r="B11" s="213">
        <v>557</v>
      </c>
      <c r="C11" s="213">
        <v>629</v>
      </c>
      <c r="D11" s="213">
        <v>838</v>
      </c>
      <c r="E11" s="213">
        <v>699</v>
      </c>
      <c r="F11" s="213">
        <v>990</v>
      </c>
      <c r="G11" s="213">
        <v>753.07100000000003</v>
      </c>
      <c r="H11" s="213">
        <v>815.06799999999998</v>
      </c>
      <c r="I11" s="213">
        <v>1056.5920000000001</v>
      </c>
      <c r="J11" s="213">
        <v>1148.759</v>
      </c>
      <c r="K11" s="214">
        <v>1269.113924</v>
      </c>
      <c r="L11" s="436"/>
    </row>
    <row r="12" spans="1:12" ht="14.25" customHeight="1">
      <c r="A12" s="30" t="s">
        <v>86</v>
      </c>
      <c r="B12" s="215">
        <f t="shared" ref="B12:K12" si="1">SUM(B9:B11)</f>
        <v>15912</v>
      </c>
      <c r="C12" s="215">
        <f t="shared" si="1"/>
        <v>17018</v>
      </c>
      <c r="D12" s="215">
        <f t="shared" si="1"/>
        <v>16666</v>
      </c>
      <c r="E12" s="215">
        <f t="shared" si="1"/>
        <v>16386</v>
      </c>
      <c r="F12" s="215">
        <f t="shared" si="1"/>
        <v>18483</v>
      </c>
      <c r="G12" s="215">
        <f t="shared" si="1"/>
        <v>13644.117</v>
      </c>
      <c r="H12" s="215">
        <f t="shared" si="1"/>
        <v>14429.162999999999</v>
      </c>
      <c r="I12" s="215">
        <f t="shared" si="1"/>
        <v>15146.656000000001</v>
      </c>
      <c r="J12" s="215">
        <f t="shared" si="1"/>
        <v>15373.845000000001</v>
      </c>
      <c r="K12" s="216">
        <f t="shared" si="1"/>
        <v>15863.907272</v>
      </c>
      <c r="L12" s="216">
        <v>13671</v>
      </c>
    </row>
    <row r="13" spans="1:12" ht="14.25" customHeight="1">
      <c r="A13" s="21" t="s">
        <v>87</v>
      </c>
      <c r="B13" s="213">
        <v>262</v>
      </c>
      <c r="C13" s="213">
        <v>262</v>
      </c>
      <c r="D13" s="213">
        <v>255</v>
      </c>
      <c r="E13" s="213">
        <v>312</v>
      </c>
      <c r="F13" s="213">
        <v>323</v>
      </c>
      <c r="G13" s="213">
        <v>276.161</v>
      </c>
      <c r="H13" s="213">
        <v>311.161</v>
      </c>
      <c r="I13" s="213">
        <v>286.161</v>
      </c>
      <c r="J13" s="213">
        <v>368.96100000000001</v>
      </c>
      <c r="K13" s="214">
        <v>523.96134700000005</v>
      </c>
      <c r="L13" s="436"/>
    </row>
    <row r="14" spans="1:12" ht="14.25" customHeight="1">
      <c r="A14" s="21" t="s">
        <v>88</v>
      </c>
      <c r="B14" s="213">
        <v>802</v>
      </c>
      <c r="C14" s="213">
        <v>1145</v>
      </c>
      <c r="D14" s="213">
        <v>1124</v>
      </c>
      <c r="E14" s="213">
        <v>1079</v>
      </c>
      <c r="F14" s="213">
        <v>1110</v>
      </c>
      <c r="G14" s="213">
        <v>1183.5830000000001</v>
      </c>
      <c r="H14" s="213">
        <v>1025.934</v>
      </c>
      <c r="I14" s="213">
        <v>1058.258</v>
      </c>
      <c r="J14" s="213">
        <v>1049.2629999999999</v>
      </c>
      <c r="K14" s="214">
        <v>1046.4747990000001</v>
      </c>
      <c r="L14" s="436"/>
    </row>
    <row r="15" spans="1:12" ht="14.25" customHeight="1">
      <c r="A15" s="21" t="s">
        <v>89</v>
      </c>
      <c r="B15" s="213">
        <v>872</v>
      </c>
      <c r="C15" s="213">
        <v>1361</v>
      </c>
      <c r="D15" s="213">
        <v>1422</v>
      </c>
      <c r="E15" s="213">
        <v>1516</v>
      </c>
      <c r="F15" s="213">
        <v>1508</v>
      </c>
      <c r="G15" s="213">
        <v>1118.3789999999999</v>
      </c>
      <c r="H15" s="213">
        <v>1416.5319999999999</v>
      </c>
      <c r="I15" s="213">
        <v>1554.375</v>
      </c>
      <c r="J15" s="213">
        <v>1612.635</v>
      </c>
      <c r="K15" s="214">
        <v>1617.156759</v>
      </c>
      <c r="L15" s="436"/>
    </row>
    <row r="16" spans="1:12" ht="14.25" customHeight="1">
      <c r="A16" s="30" t="s">
        <v>90</v>
      </c>
      <c r="B16" s="215">
        <f t="shared" ref="B16:K16" si="2">SUM(B13:B15)</f>
        <v>1936</v>
      </c>
      <c r="C16" s="215">
        <f t="shared" si="2"/>
        <v>2768</v>
      </c>
      <c r="D16" s="215">
        <f t="shared" si="2"/>
        <v>2801</v>
      </c>
      <c r="E16" s="215">
        <f t="shared" si="2"/>
        <v>2907</v>
      </c>
      <c r="F16" s="215">
        <f t="shared" si="2"/>
        <v>2941</v>
      </c>
      <c r="G16" s="215">
        <f t="shared" si="2"/>
        <v>2578.123</v>
      </c>
      <c r="H16" s="215">
        <f t="shared" si="2"/>
        <v>2753.627</v>
      </c>
      <c r="I16" s="215">
        <f t="shared" si="2"/>
        <v>2898.7939999999999</v>
      </c>
      <c r="J16" s="215">
        <f t="shared" si="2"/>
        <v>3030.8589999999999</v>
      </c>
      <c r="K16" s="216">
        <f t="shared" si="2"/>
        <v>3187.592905</v>
      </c>
      <c r="L16" s="216">
        <v>3011</v>
      </c>
    </row>
    <row r="17" spans="1:12" ht="14.25" customHeight="1">
      <c r="A17" s="31" t="s">
        <v>91</v>
      </c>
      <c r="B17" s="217">
        <f>B12+B16</f>
        <v>17848</v>
      </c>
      <c r="C17" s="217">
        <f>C12+C16</f>
        <v>19786</v>
      </c>
      <c r="D17" s="217">
        <f>D12+D16</f>
        <v>19467</v>
      </c>
      <c r="E17" s="217">
        <f>E12+E16</f>
        <v>19293</v>
      </c>
      <c r="F17" s="217">
        <f>F12+F16</f>
        <v>21424</v>
      </c>
      <c r="G17" s="217">
        <f t="shared" ref="G17:L17" si="3">G12+G16</f>
        <v>16222.24</v>
      </c>
      <c r="H17" s="217">
        <f t="shared" si="3"/>
        <v>17182.789999999997</v>
      </c>
      <c r="I17" s="217">
        <f t="shared" si="3"/>
        <v>18045.45</v>
      </c>
      <c r="J17" s="217">
        <f t="shared" si="3"/>
        <v>18404.704000000002</v>
      </c>
      <c r="K17" s="218">
        <f t="shared" si="3"/>
        <v>19051.500177000002</v>
      </c>
      <c r="L17" s="218">
        <f t="shared" si="3"/>
        <v>16682</v>
      </c>
    </row>
    <row r="18" spans="1:12">
      <c r="B18" s="374"/>
      <c r="C18" s="374"/>
      <c r="D18" s="374"/>
      <c r="E18" s="374"/>
      <c r="G18" s="374"/>
      <c r="H18" s="374"/>
      <c r="I18" s="374"/>
      <c r="J18" s="374"/>
      <c r="K18" s="374"/>
    </row>
    <row r="19" spans="1:12" ht="14.5">
      <c r="A19" s="202" t="s">
        <v>336</v>
      </c>
      <c r="B19" s="492" t="s">
        <v>442</v>
      </c>
      <c r="C19" s="486"/>
      <c r="D19" s="486"/>
      <c r="E19" s="486"/>
      <c r="F19" s="486"/>
      <c r="G19" s="486"/>
      <c r="H19" s="486"/>
      <c r="I19" s="486"/>
      <c r="J19" s="486"/>
      <c r="K19" s="486"/>
    </row>
    <row r="20" spans="1:12" ht="25" customHeight="1">
      <c r="A20" s="202" t="s">
        <v>37</v>
      </c>
      <c r="B20" s="492" t="s">
        <v>92</v>
      </c>
      <c r="C20" s="486"/>
      <c r="D20" s="486"/>
      <c r="E20" s="486"/>
      <c r="F20" s="486"/>
      <c r="G20" s="486"/>
      <c r="H20" s="486"/>
      <c r="I20" s="486"/>
      <c r="J20" s="486"/>
      <c r="K20" s="486"/>
    </row>
  </sheetData>
  <protectedRanges>
    <protectedRange sqref="A5:K7 A9:K11 A13:K15" name="Range1"/>
  </protectedRanges>
  <mergeCells count="3">
    <mergeCell ref="B1:G1"/>
    <mergeCell ref="B20:K20"/>
    <mergeCell ref="B19:K1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68C31-BBD0-401D-B5F3-C61874341565}">
  <dimension ref="A1:P30"/>
  <sheetViews>
    <sheetView showGridLines="0" zoomScaleNormal="100" workbookViewId="0">
      <selection activeCell="A28" sqref="A28"/>
    </sheetView>
  </sheetViews>
  <sheetFormatPr defaultColWidth="9.1796875" defaultRowHeight="14"/>
  <cols>
    <col min="1" max="1" width="32.81640625" style="38" customWidth="1"/>
    <col min="2" max="10" width="9.1796875" style="38" customWidth="1"/>
    <col min="11" max="16384" width="9.1796875" style="38"/>
  </cols>
  <sheetData>
    <row r="1" spans="1:16" ht="14.5">
      <c r="A1" s="37" t="s">
        <v>93</v>
      </c>
      <c r="B1" s="493" t="s">
        <v>94</v>
      </c>
      <c r="C1" s="494"/>
      <c r="D1" s="494"/>
      <c r="E1" s="494"/>
      <c r="F1" s="494"/>
      <c r="G1" s="494"/>
      <c r="I1" s="27" t="str">
        <f>HYPERLINK("#Contents!A9","BACK TO CONTENTS")</f>
        <v>BACK TO CONTENTS</v>
      </c>
    </row>
    <row r="3" spans="1:16">
      <c r="A3" s="37" t="s">
        <v>56</v>
      </c>
    </row>
    <row r="4" spans="1:16" ht="14.25" customHeight="1" thickBot="1">
      <c r="A4" s="94" t="s">
        <v>303</v>
      </c>
      <c r="B4" s="79">
        <v>2013</v>
      </c>
      <c r="C4" s="79">
        <v>2014</v>
      </c>
      <c r="D4" s="79">
        <v>2015</v>
      </c>
      <c r="E4" s="79">
        <v>2016</v>
      </c>
      <c r="F4" s="95">
        <v>2017</v>
      </c>
      <c r="G4" s="95">
        <v>2018</v>
      </c>
      <c r="H4" s="95">
        <v>2019</v>
      </c>
      <c r="I4" s="95">
        <v>2020</v>
      </c>
      <c r="J4" s="96">
        <v>2021</v>
      </c>
      <c r="K4" s="97">
        <v>2022</v>
      </c>
      <c r="L4" s="97">
        <v>2023</v>
      </c>
    </row>
    <row r="5" spans="1:16" ht="14.25" customHeight="1" thickTop="1">
      <c r="A5" s="98" t="s">
        <v>57</v>
      </c>
      <c r="B5" s="219">
        <v>1176</v>
      </c>
      <c r="C5" s="219">
        <v>1199</v>
      </c>
      <c r="D5" s="219">
        <v>1295</v>
      </c>
      <c r="E5" s="219">
        <v>1292</v>
      </c>
      <c r="F5" s="219">
        <v>1262</v>
      </c>
      <c r="G5" s="219">
        <v>1366</v>
      </c>
      <c r="H5" s="219">
        <v>1502</v>
      </c>
      <c r="I5" s="220">
        <v>1469</v>
      </c>
      <c r="J5" s="220">
        <v>1619</v>
      </c>
      <c r="K5" s="221">
        <v>1732</v>
      </c>
      <c r="L5" s="221">
        <v>1326</v>
      </c>
    </row>
    <row r="6" spans="1:16" ht="14.25" customHeight="1">
      <c r="A6" s="99" t="s">
        <v>95</v>
      </c>
      <c r="B6" s="222">
        <v>451</v>
      </c>
      <c r="C6" s="222">
        <v>509</v>
      </c>
      <c r="D6" s="222">
        <v>502</v>
      </c>
      <c r="E6" s="222">
        <v>490</v>
      </c>
      <c r="F6" s="222">
        <v>446</v>
      </c>
      <c r="G6" s="222">
        <v>505</v>
      </c>
      <c r="H6" s="222">
        <v>551</v>
      </c>
      <c r="I6" s="222">
        <v>582</v>
      </c>
      <c r="J6" s="222">
        <v>728</v>
      </c>
      <c r="K6" s="223">
        <v>787</v>
      </c>
      <c r="L6" s="437"/>
    </row>
    <row r="7" spans="1:16" ht="14.25" customHeight="1">
      <c r="A7" s="98" t="s">
        <v>96</v>
      </c>
      <c r="B7" s="219">
        <v>725</v>
      </c>
      <c r="C7" s="219">
        <v>690</v>
      </c>
      <c r="D7" s="219">
        <v>793</v>
      </c>
      <c r="E7" s="219">
        <v>802</v>
      </c>
      <c r="F7" s="219">
        <v>816</v>
      </c>
      <c r="G7" s="219">
        <v>861</v>
      </c>
      <c r="H7" s="219">
        <v>951</v>
      </c>
      <c r="I7" s="219">
        <v>887</v>
      </c>
      <c r="J7" s="219">
        <v>891</v>
      </c>
      <c r="K7" s="317">
        <v>944</v>
      </c>
      <c r="L7" s="438"/>
    </row>
    <row r="8" spans="1:16" ht="14.25" customHeight="1">
      <c r="A8" s="99" t="s">
        <v>97</v>
      </c>
      <c r="B8" s="222">
        <v>-3</v>
      </c>
      <c r="C8" s="222">
        <v>-28</v>
      </c>
      <c r="D8" s="222">
        <v>17</v>
      </c>
      <c r="E8" s="222">
        <v>2</v>
      </c>
      <c r="F8" s="222">
        <v>4</v>
      </c>
      <c r="G8" s="222">
        <v>53</v>
      </c>
      <c r="H8" s="222">
        <v>-70</v>
      </c>
      <c r="I8" s="222">
        <v>16</v>
      </c>
      <c r="J8" s="222">
        <v>-1</v>
      </c>
      <c r="K8" s="223">
        <v>-17</v>
      </c>
      <c r="L8" s="437"/>
    </row>
    <row r="9" spans="1:16" s="37" customFormat="1" ht="14.25" customHeight="1">
      <c r="A9" s="98" t="s">
        <v>98</v>
      </c>
      <c r="B9" s="219">
        <v>728</v>
      </c>
      <c r="C9" s="219">
        <v>718</v>
      </c>
      <c r="D9" s="219">
        <v>776</v>
      </c>
      <c r="E9" s="219">
        <v>795</v>
      </c>
      <c r="F9" s="219">
        <v>812</v>
      </c>
      <c r="G9" s="219">
        <v>835</v>
      </c>
      <c r="H9" s="219">
        <v>881</v>
      </c>
      <c r="I9" s="219">
        <v>903</v>
      </c>
      <c r="J9" s="219">
        <v>891</v>
      </c>
      <c r="K9" s="317">
        <v>927</v>
      </c>
      <c r="L9" s="438"/>
      <c r="P9" s="380"/>
    </row>
    <row r="10" spans="1:16" ht="14.25" customHeight="1">
      <c r="A10" s="99" t="s">
        <v>99</v>
      </c>
      <c r="B10" s="222"/>
      <c r="C10" s="222"/>
      <c r="D10" s="222"/>
      <c r="E10" s="222"/>
      <c r="F10" s="222">
        <v>631</v>
      </c>
      <c r="G10" s="222">
        <v>549</v>
      </c>
      <c r="H10" s="222">
        <v>756</v>
      </c>
      <c r="I10" s="222">
        <v>699</v>
      </c>
      <c r="J10" s="222">
        <v>731</v>
      </c>
      <c r="K10" s="223">
        <v>671</v>
      </c>
      <c r="L10" s="437"/>
    </row>
    <row r="11" spans="1:16" ht="14.25" customHeight="1">
      <c r="A11" s="99" t="s">
        <v>100</v>
      </c>
      <c r="B11" s="222"/>
      <c r="C11" s="222"/>
      <c r="D11" s="222"/>
      <c r="E11" s="222"/>
      <c r="F11" s="222">
        <v>150</v>
      </c>
      <c r="G11" s="222">
        <v>126</v>
      </c>
      <c r="H11" s="222">
        <v>270</v>
      </c>
      <c r="I11" s="222">
        <v>258</v>
      </c>
      <c r="J11" s="222">
        <v>235</v>
      </c>
      <c r="K11" s="223">
        <v>191</v>
      </c>
      <c r="L11" s="437"/>
    </row>
    <row r="12" spans="1:16" ht="14.25" customHeight="1">
      <c r="A12" s="99" t="s">
        <v>101</v>
      </c>
      <c r="B12" s="222"/>
      <c r="C12" s="222"/>
      <c r="D12" s="222"/>
      <c r="E12" s="222"/>
      <c r="F12" s="222" t="s">
        <v>27</v>
      </c>
      <c r="G12" s="222" t="s">
        <v>27</v>
      </c>
      <c r="H12" s="222" t="s">
        <v>27</v>
      </c>
      <c r="I12" s="222">
        <v>2</v>
      </c>
      <c r="J12" s="222" t="s">
        <v>27</v>
      </c>
      <c r="K12" s="223" t="s">
        <v>27</v>
      </c>
      <c r="L12" s="437"/>
    </row>
    <row r="13" spans="1:16" s="37" customFormat="1" ht="14.25" customHeight="1">
      <c r="A13" s="318" t="s">
        <v>102</v>
      </c>
      <c r="B13" s="219">
        <v>381</v>
      </c>
      <c r="C13" s="219">
        <v>399</v>
      </c>
      <c r="D13" s="219">
        <v>391</v>
      </c>
      <c r="E13" s="219">
        <v>457</v>
      </c>
      <c r="F13" s="219">
        <v>481</v>
      </c>
      <c r="G13" s="219">
        <v>423</v>
      </c>
      <c r="H13" s="219">
        <v>485</v>
      </c>
      <c r="I13" s="219">
        <v>439</v>
      </c>
      <c r="J13" s="219">
        <v>497</v>
      </c>
      <c r="K13" s="317">
        <v>482</v>
      </c>
      <c r="L13" s="317">
        <v>372</v>
      </c>
    </row>
    <row r="14" spans="1:16" ht="14.25" customHeight="1">
      <c r="A14" s="99" t="s">
        <v>67</v>
      </c>
      <c r="B14" s="222"/>
      <c r="C14" s="222"/>
      <c r="D14" s="222"/>
      <c r="E14" s="222"/>
      <c r="F14" s="222">
        <v>184</v>
      </c>
      <c r="G14" s="222">
        <v>210</v>
      </c>
      <c r="H14" s="222">
        <v>210</v>
      </c>
      <c r="I14" s="222">
        <v>227</v>
      </c>
      <c r="J14" s="222">
        <v>247</v>
      </c>
      <c r="K14" s="223">
        <v>240</v>
      </c>
      <c r="L14" s="437"/>
    </row>
    <row r="15" spans="1:16" ht="14.25" customHeight="1">
      <c r="A15" s="99" t="s">
        <v>103</v>
      </c>
      <c r="B15" s="222"/>
      <c r="C15" s="222"/>
      <c r="D15" s="222"/>
      <c r="E15" s="222"/>
      <c r="F15" s="222">
        <v>57</v>
      </c>
      <c r="G15" s="222">
        <v>90</v>
      </c>
      <c r="H15" s="222">
        <v>114</v>
      </c>
      <c r="I15" s="222">
        <v>114</v>
      </c>
      <c r="J15" s="222">
        <v>151</v>
      </c>
      <c r="K15" s="223">
        <v>139</v>
      </c>
      <c r="L15" s="437"/>
    </row>
    <row r="16" spans="1:16" s="37" customFormat="1" ht="14.25" customHeight="1">
      <c r="A16" s="98" t="s">
        <v>72</v>
      </c>
      <c r="B16" s="219">
        <v>98</v>
      </c>
      <c r="C16" s="219">
        <v>79</v>
      </c>
      <c r="D16" s="219">
        <v>99</v>
      </c>
      <c r="E16" s="219">
        <v>91</v>
      </c>
      <c r="F16" s="219">
        <v>121</v>
      </c>
      <c r="G16" s="219">
        <v>120</v>
      </c>
      <c r="H16" s="219">
        <v>96</v>
      </c>
      <c r="I16" s="219">
        <v>113</v>
      </c>
      <c r="J16" s="219">
        <v>97</v>
      </c>
      <c r="K16" s="317">
        <v>100</v>
      </c>
      <c r="L16" s="438"/>
    </row>
    <row r="17" spans="1:14" ht="14.25" customHeight="1">
      <c r="A17" s="99" t="s">
        <v>68</v>
      </c>
      <c r="B17" s="222">
        <v>180</v>
      </c>
      <c r="C17" s="222">
        <v>191</v>
      </c>
      <c r="D17" s="222">
        <v>198</v>
      </c>
      <c r="E17" s="222">
        <v>220</v>
      </c>
      <c r="F17" s="222">
        <v>241</v>
      </c>
      <c r="G17" s="222">
        <v>248</v>
      </c>
      <c r="H17" s="222">
        <v>267</v>
      </c>
      <c r="I17" s="222">
        <v>271</v>
      </c>
      <c r="J17" s="222">
        <v>262</v>
      </c>
      <c r="K17" s="223">
        <v>303</v>
      </c>
      <c r="L17" s="223">
        <v>86</v>
      </c>
    </row>
    <row r="18" spans="1:14" ht="14.25" customHeight="1">
      <c r="A18" s="99" t="s">
        <v>104</v>
      </c>
      <c r="B18" s="222">
        <v>659</v>
      </c>
      <c r="C18" s="222">
        <v>669</v>
      </c>
      <c r="D18" s="222">
        <v>690</v>
      </c>
      <c r="E18" s="222">
        <v>768</v>
      </c>
      <c r="F18" s="222">
        <v>844</v>
      </c>
      <c r="G18" s="222">
        <v>791</v>
      </c>
      <c r="H18" s="222">
        <v>848</v>
      </c>
      <c r="I18" s="222">
        <v>824</v>
      </c>
      <c r="J18" s="222">
        <v>855</v>
      </c>
      <c r="K18" s="223">
        <v>885</v>
      </c>
      <c r="L18" s="223">
        <v>619</v>
      </c>
    </row>
    <row r="19" spans="1:14" ht="14.25" customHeight="1">
      <c r="A19" s="109" t="s">
        <v>105</v>
      </c>
      <c r="B19" s="224">
        <v>70</v>
      </c>
      <c r="C19" s="224">
        <v>49</v>
      </c>
      <c r="D19" s="224">
        <v>87</v>
      </c>
      <c r="E19" s="224">
        <v>27</v>
      </c>
      <c r="F19" s="224">
        <v>-31</v>
      </c>
      <c r="G19" s="224">
        <v>44</v>
      </c>
      <c r="H19" s="224">
        <v>33</v>
      </c>
      <c r="I19" s="224">
        <v>79</v>
      </c>
      <c r="J19" s="224">
        <v>35</v>
      </c>
      <c r="K19" s="225">
        <v>42</v>
      </c>
      <c r="L19" s="437"/>
    </row>
    <row r="20" spans="1:14" ht="14.25" customHeight="1">
      <c r="A20" s="99" t="s">
        <v>106</v>
      </c>
      <c r="B20" s="222">
        <v>65</v>
      </c>
      <c r="C20" s="222">
        <v>50</v>
      </c>
      <c r="D20" s="222">
        <v>70</v>
      </c>
      <c r="E20" s="222">
        <v>38</v>
      </c>
      <c r="F20" s="222">
        <v>30</v>
      </c>
      <c r="G20" s="222">
        <v>37</v>
      </c>
      <c r="H20" s="222">
        <v>39</v>
      </c>
      <c r="I20" s="222">
        <v>41</v>
      </c>
      <c r="J20" s="222">
        <v>45</v>
      </c>
      <c r="K20" s="223">
        <v>55</v>
      </c>
      <c r="L20" s="437"/>
    </row>
    <row r="21" spans="1:14" ht="14.25" customHeight="1">
      <c r="A21" s="99" t="s">
        <v>63</v>
      </c>
      <c r="B21" s="222">
        <v>39</v>
      </c>
      <c r="C21" s="222">
        <v>27</v>
      </c>
      <c r="D21" s="222">
        <v>26</v>
      </c>
      <c r="E21" s="222">
        <v>12</v>
      </c>
      <c r="F21" s="222">
        <v>37</v>
      </c>
      <c r="G21" s="222">
        <v>29</v>
      </c>
      <c r="H21" s="222">
        <v>26</v>
      </c>
      <c r="I21" s="222">
        <v>42</v>
      </c>
      <c r="J21" s="222">
        <v>64</v>
      </c>
      <c r="K21" s="223">
        <v>11</v>
      </c>
      <c r="L21" s="437"/>
    </row>
    <row r="22" spans="1:14" s="37" customFormat="1" ht="14.25" customHeight="1">
      <c r="A22" s="98" t="s">
        <v>285</v>
      </c>
      <c r="B22" s="219">
        <v>174</v>
      </c>
      <c r="C22" s="219">
        <v>126</v>
      </c>
      <c r="D22" s="219">
        <v>183</v>
      </c>
      <c r="E22" s="219">
        <v>77</v>
      </c>
      <c r="F22" s="219">
        <v>36</v>
      </c>
      <c r="G22" s="219">
        <v>111</v>
      </c>
      <c r="H22" s="219">
        <v>98</v>
      </c>
      <c r="I22" s="219">
        <v>162</v>
      </c>
      <c r="J22" s="219">
        <v>145</v>
      </c>
      <c r="K22" s="317">
        <v>108</v>
      </c>
      <c r="L22" s="317">
        <v>126</v>
      </c>
      <c r="N22" s="380"/>
    </row>
    <row r="23" spans="1:14" ht="14.25" customHeight="1">
      <c r="A23" s="99" t="s">
        <v>75</v>
      </c>
      <c r="B23" s="222">
        <v>32</v>
      </c>
      <c r="C23" s="222">
        <v>22</v>
      </c>
      <c r="D23" s="222">
        <v>37</v>
      </c>
      <c r="E23" s="222">
        <v>19</v>
      </c>
      <c r="F23" s="222">
        <v>17</v>
      </c>
      <c r="G23" s="222">
        <v>17</v>
      </c>
      <c r="H23" s="222">
        <v>31</v>
      </c>
      <c r="I23" s="222">
        <v>40</v>
      </c>
      <c r="J23" s="222">
        <v>44</v>
      </c>
      <c r="K23" s="223">
        <v>23</v>
      </c>
      <c r="L23" s="223">
        <v>27</v>
      </c>
    </row>
    <row r="24" spans="1:14" s="37" customFormat="1" ht="14.25" customHeight="1">
      <c r="A24" s="319" t="s">
        <v>76</v>
      </c>
      <c r="B24" s="320"/>
      <c r="C24" s="320"/>
      <c r="D24" s="320"/>
      <c r="E24" s="320"/>
      <c r="F24" s="320">
        <v>24</v>
      </c>
      <c r="G24" s="320">
        <v>99</v>
      </c>
      <c r="H24" s="320">
        <v>67</v>
      </c>
      <c r="I24" s="320">
        <v>122</v>
      </c>
      <c r="J24" s="320">
        <v>97</v>
      </c>
      <c r="K24" s="321">
        <v>85</v>
      </c>
      <c r="L24" s="321">
        <f>L22-L23</f>
        <v>99</v>
      </c>
    </row>
    <row r="25" spans="1:14" s="37" customFormat="1" ht="14.25" customHeight="1">
      <c r="A25" s="375"/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</row>
    <row r="26" spans="1:14">
      <c r="A26" s="177" t="s">
        <v>286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spans="1:14">
      <c r="A27" s="177" t="s">
        <v>287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</row>
    <row r="28" spans="1:14">
      <c r="A28" s="177" t="s">
        <v>288</v>
      </c>
    </row>
    <row r="29" spans="1:14">
      <c r="A29" s="177"/>
    </row>
    <row r="30" spans="1:14">
      <c r="A30" s="180" t="s">
        <v>37</v>
      </c>
      <c r="B30" s="181" t="s">
        <v>442</v>
      </c>
    </row>
  </sheetData>
  <protectedRanges>
    <protectedRange sqref="A5:K25" name="Range1"/>
  </protectedRanges>
  <mergeCells count="1">
    <mergeCell ref="B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E689F-A6BE-456F-8470-A54C44189FF9}">
  <dimension ref="A1:L20"/>
  <sheetViews>
    <sheetView showGridLines="0" zoomScaleNormal="100" workbookViewId="0">
      <selection activeCell="E21" sqref="E21"/>
    </sheetView>
  </sheetViews>
  <sheetFormatPr defaultRowHeight="14.5"/>
  <cols>
    <col min="1" max="1" width="20.1796875" customWidth="1"/>
    <col min="6" max="6" width="11.26953125" bestFit="1" customWidth="1"/>
  </cols>
  <sheetData>
    <row r="1" spans="1:12">
      <c r="A1" s="20" t="s">
        <v>107</v>
      </c>
      <c r="B1" s="479" t="s">
        <v>108</v>
      </c>
      <c r="C1" s="486"/>
      <c r="D1" s="486"/>
      <c r="E1" s="486"/>
      <c r="F1" s="486"/>
      <c r="G1" s="486"/>
      <c r="I1" s="27" t="str">
        <f>HYPERLINK("#Contents!A9","BACK TO CONTENTS")</f>
        <v>BACK TO CONTENTS</v>
      </c>
    </row>
    <row r="3" spans="1:12">
      <c r="A3" s="20" t="s">
        <v>56</v>
      </c>
      <c r="B3" s="19"/>
      <c r="C3" s="19"/>
      <c r="D3" s="19"/>
      <c r="E3" s="19"/>
      <c r="F3" s="19"/>
    </row>
    <row r="4" spans="1:12" ht="14.25" customHeight="1" thickBot="1">
      <c r="A4" s="88" t="s">
        <v>443</v>
      </c>
      <c r="B4" s="79">
        <v>2013</v>
      </c>
      <c r="C4" s="79">
        <v>2014</v>
      </c>
      <c r="D4" s="79">
        <v>2015</v>
      </c>
      <c r="E4" s="79">
        <v>2016</v>
      </c>
      <c r="F4" s="89">
        <v>2017</v>
      </c>
      <c r="G4" s="89">
        <v>2018</v>
      </c>
      <c r="H4" s="89">
        <v>2019</v>
      </c>
      <c r="I4" s="89">
        <v>2020</v>
      </c>
      <c r="J4" s="89">
        <v>2021</v>
      </c>
      <c r="K4" s="90">
        <v>2022</v>
      </c>
      <c r="L4" s="90">
        <v>2023</v>
      </c>
    </row>
    <row r="5" spans="1:12" ht="14.25" customHeight="1" thickTop="1">
      <c r="A5" s="129" t="s">
        <v>79</v>
      </c>
      <c r="B5" s="226">
        <v>166</v>
      </c>
      <c r="C5" s="226">
        <v>476</v>
      </c>
      <c r="D5" s="226">
        <v>487</v>
      </c>
      <c r="E5" s="226">
        <v>497</v>
      </c>
      <c r="F5" s="226">
        <v>559</v>
      </c>
      <c r="G5" s="226">
        <v>737</v>
      </c>
      <c r="H5" s="226">
        <v>830</v>
      </c>
      <c r="I5" s="226">
        <v>922</v>
      </c>
      <c r="J5" s="226">
        <v>946</v>
      </c>
      <c r="K5" s="227">
        <v>832</v>
      </c>
      <c r="L5" s="439"/>
    </row>
    <row r="6" spans="1:12" ht="14.25" customHeight="1">
      <c r="A6" s="129" t="s">
        <v>109</v>
      </c>
      <c r="B6" s="226">
        <v>275</v>
      </c>
      <c r="C6" s="226">
        <v>80</v>
      </c>
      <c r="D6" s="226">
        <v>490</v>
      </c>
      <c r="E6" s="226">
        <v>367</v>
      </c>
      <c r="F6" s="226">
        <v>111</v>
      </c>
      <c r="G6" s="226">
        <v>89</v>
      </c>
      <c r="H6" s="226">
        <v>94</v>
      </c>
      <c r="I6" s="226">
        <v>112</v>
      </c>
      <c r="J6" s="226">
        <v>324</v>
      </c>
      <c r="K6" s="227">
        <v>250</v>
      </c>
      <c r="L6" s="439"/>
    </row>
    <row r="7" spans="1:12" ht="14.25" customHeight="1">
      <c r="A7" s="129" t="s">
        <v>110</v>
      </c>
      <c r="B7" s="226">
        <v>970</v>
      </c>
      <c r="C7" s="226">
        <v>1155</v>
      </c>
      <c r="D7" s="226">
        <v>806</v>
      </c>
      <c r="E7" s="226">
        <v>1075</v>
      </c>
      <c r="F7" s="226">
        <v>1203</v>
      </c>
      <c r="G7" s="226">
        <v>1153</v>
      </c>
      <c r="H7" s="226">
        <v>1346</v>
      </c>
      <c r="I7" s="226">
        <v>1383</v>
      </c>
      <c r="J7" s="226">
        <v>1345</v>
      </c>
      <c r="K7" s="227">
        <v>1471</v>
      </c>
      <c r="L7" s="439"/>
    </row>
    <row r="8" spans="1:12" ht="14.25" customHeight="1">
      <c r="A8" s="85" t="s">
        <v>82</v>
      </c>
      <c r="B8" s="215">
        <f>SUM(B5:B7)</f>
        <v>1411</v>
      </c>
      <c r="C8" s="215">
        <f>SUM(C5:C7)</f>
        <v>1711</v>
      </c>
      <c r="D8" s="215">
        <f>SUM(D5:D7)</f>
        <v>1783</v>
      </c>
      <c r="E8" s="215">
        <f>SUM(E5:E7)</f>
        <v>1939</v>
      </c>
      <c r="F8" s="215">
        <f t="shared" ref="F8:K8" si="0">SUM(F5:F7)</f>
        <v>1873</v>
      </c>
      <c r="G8" s="215">
        <f t="shared" si="0"/>
        <v>1979</v>
      </c>
      <c r="H8" s="215">
        <f t="shared" si="0"/>
        <v>2270</v>
      </c>
      <c r="I8" s="215">
        <f t="shared" si="0"/>
        <v>2417</v>
      </c>
      <c r="J8" s="215">
        <f t="shared" si="0"/>
        <v>2615</v>
      </c>
      <c r="K8" s="228">
        <f t="shared" si="0"/>
        <v>2553</v>
      </c>
      <c r="L8" s="228">
        <v>1453</v>
      </c>
    </row>
    <row r="9" spans="1:12" ht="14.25" customHeight="1">
      <c r="A9" s="129" t="s">
        <v>83</v>
      </c>
      <c r="B9" s="226">
        <v>694</v>
      </c>
      <c r="C9" s="226">
        <v>754</v>
      </c>
      <c r="D9" s="226">
        <v>815</v>
      </c>
      <c r="E9" s="226">
        <v>867</v>
      </c>
      <c r="F9" s="226">
        <v>838</v>
      </c>
      <c r="G9" s="226">
        <v>1056</v>
      </c>
      <c r="H9" s="226">
        <v>1157</v>
      </c>
      <c r="I9" s="226">
        <v>1184</v>
      </c>
      <c r="J9" s="226">
        <v>1473</v>
      </c>
      <c r="K9" s="227">
        <v>1440</v>
      </c>
      <c r="L9" s="439"/>
    </row>
    <row r="10" spans="1:12" ht="14.25" customHeight="1">
      <c r="A10" s="129" t="s">
        <v>84</v>
      </c>
      <c r="B10" s="226">
        <v>13</v>
      </c>
      <c r="C10" s="226">
        <v>8</v>
      </c>
      <c r="D10" s="226">
        <v>12</v>
      </c>
      <c r="E10" s="226">
        <v>20</v>
      </c>
      <c r="F10" s="226">
        <v>26</v>
      </c>
      <c r="G10" s="226">
        <v>2</v>
      </c>
      <c r="H10" s="226">
        <v>3</v>
      </c>
      <c r="I10" s="226">
        <v>18</v>
      </c>
      <c r="J10" s="226">
        <v>43</v>
      </c>
      <c r="K10" s="227">
        <v>48</v>
      </c>
      <c r="L10" s="439"/>
    </row>
    <row r="11" spans="1:12" ht="14.25" customHeight="1">
      <c r="A11" s="129" t="s">
        <v>85</v>
      </c>
      <c r="B11" s="226">
        <v>356</v>
      </c>
      <c r="C11" s="226">
        <v>251</v>
      </c>
      <c r="D11" s="226">
        <v>167</v>
      </c>
      <c r="E11" s="226">
        <v>231</v>
      </c>
      <c r="F11" s="226">
        <v>279</v>
      </c>
      <c r="G11" s="226">
        <v>187</v>
      </c>
      <c r="H11" s="226">
        <v>338</v>
      </c>
      <c r="I11" s="226">
        <v>366</v>
      </c>
      <c r="J11" s="226">
        <v>316</v>
      </c>
      <c r="K11" s="227">
        <v>293</v>
      </c>
      <c r="L11" s="439"/>
    </row>
    <row r="12" spans="1:12" ht="14.25" customHeight="1">
      <c r="A12" s="85" t="s">
        <v>86</v>
      </c>
      <c r="B12" s="215">
        <f>SUM(B9:B11)</f>
        <v>1063</v>
      </c>
      <c r="C12" s="215">
        <f>SUM(C9:C11)</f>
        <v>1013</v>
      </c>
      <c r="D12" s="215">
        <f>SUM(D9:D11)</f>
        <v>994</v>
      </c>
      <c r="E12" s="215">
        <f>SUM(E9:E11)</f>
        <v>1118</v>
      </c>
      <c r="F12" s="215">
        <f t="shared" ref="F12:K12" si="1">SUM(F9:F11)</f>
        <v>1143</v>
      </c>
      <c r="G12" s="215">
        <f t="shared" si="1"/>
        <v>1245</v>
      </c>
      <c r="H12" s="215">
        <f t="shared" si="1"/>
        <v>1498</v>
      </c>
      <c r="I12" s="215">
        <f t="shared" si="1"/>
        <v>1568</v>
      </c>
      <c r="J12" s="215">
        <f t="shared" si="1"/>
        <v>1832</v>
      </c>
      <c r="K12" s="229">
        <f t="shared" si="1"/>
        <v>1781</v>
      </c>
      <c r="L12" s="229">
        <v>860</v>
      </c>
    </row>
    <row r="13" spans="1:12" ht="14.25" customHeight="1">
      <c r="A13" s="129" t="s">
        <v>87</v>
      </c>
      <c r="B13" s="226">
        <v>172</v>
      </c>
      <c r="C13" s="226">
        <v>201</v>
      </c>
      <c r="D13" s="226">
        <v>220</v>
      </c>
      <c r="E13" s="226">
        <v>230</v>
      </c>
      <c r="F13" s="226">
        <v>307</v>
      </c>
      <c r="G13" s="226">
        <v>295</v>
      </c>
      <c r="H13" s="226">
        <v>315</v>
      </c>
      <c r="I13" s="226">
        <v>321</v>
      </c>
      <c r="J13" s="226">
        <v>315</v>
      </c>
      <c r="K13" s="227">
        <v>356</v>
      </c>
      <c r="L13" s="439"/>
    </row>
    <row r="14" spans="1:12" ht="14.25" customHeight="1">
      <c r="A14" s="129" t="s">
        <v>88</v>
      </c>
      <c r="B14" s="226">
        <v>252</v>
      </c>
      <c r="C14" s="226">
        <v>282</v>
      </c>
      <c r="D14" s="226">
        <v>303</v>
      </c>
      <c r="E14" s="226">
        <v>315</v>
      </c>
      <c r="F14" s="226">
        <v>316</v>
      </c>
      <c r="G14" s="226">
        <v>354</v>
      </c>
      <c r="H14" s="226">
        <v>377</v>
      </c>
      <c r="I14" s="226">
        <v>398</v>
      </c>
      <c r="J14" s="226">
        <v>172</v>
      </c>
      <c r="K14" s="227">
        <v>157</v>
      </c>
      <c r="L14" s="439"/>
    </row>
    <row r="15" spans="1:12" ht="14.25" customHeight="1">
      <c r="A15" s="129" t="s">
        <v>89</v>
      </c>
      <c r="B15" s="226">
        <v>224</v>
      </c>
      <c r="C15" s="226">
        <v>215</v>
      </c>
      <c r="D15" s="226">
        <v>267</v>
      </c>
      <c r="E15" s="226">
        <v>276</v>
      </c>
      <c r="F15" s="226">
        <v>107</v>
      </c>
      <c r="G15" s="226">
        <v>85</v>
      </c>
      <c r="H15" s="226">
        <v>82</v>
      </c>
      <c r="I15" s="226">
        <v>129</v>
      </c>
      <c r="J15" s="226">
        <v>296</v>
      </c>
      <c r="K15" s="227">
        <v>258</v>
      </c>
      <c r="L15" s="439"/>
    </row>
    <row r="16" spans="1:12" ht="14.25" customHeight="1">
      <c r="A16" s="85" t="s">
        <v>90</v>
      </c>
      <c r="B16" s="215">
        <f t="shared" ref="B16:K16" si="2">SUM(B13:B15)</f>
        <v>648</v>
      </c>
      <c r="C16" s="215">
        <f t="shared" si="2"/>
        <v>698</v>
      </c>
      <c r="D16" s="215">
        <f t="shared" si="2"/>
        <v>790</v>
      </c>
      <c r="E16" s="215">
        <f t="shared" si="2"/>
        <v>821</v>
      </c>
      <c r="F16" s="215">
        <f t="shared" si="2"/>
        <v>730</v>
      </c>
      <c r="G16" s="215">
        <f t="shared" si="2"/>
        <v>734</v>
      </c>
      <c r="H16" s="215">
        <f t="shared" si="2"/>
        <v>774</v>
      </c>
      <c r="I16" s="215">
        <f t="shared" si="2"/>
        <v>848</v>
      </c>
      <c r="J16" s="215">
        <f t="shared" si="2"/>
        <v>783</v>
      </c>
      <c r="K16" s="229">
        <f t="shared" si="2"/>
        <v>771</v>
      </c>
      <c r="L16" s="229">
        <v>592</v>
      </c>
    </row>
    <row r="17" spans="1:12" ht="14.25" customHeight="1">
      <c r="A17" s="100" t="s">
        <v>111</v>
      </c>
      <c r="B17" s="230">
        <f>B12+B16</f>
        <v>1711</v>
      </c>
      <c r="C17" s="230">
        <f>C12+C16</f>
        <v>1711</v>
      </c>
      <c r="D17" s="230">
        <f>D12+D16</f>
        <v>1784</v>
      </c>
      <c r="E17" s="230">
        <f>E12+E16</f>
        <v>1939</v>
      </c>
      <c r="F17" s="230">
        <f>F12+F16</f>
        <v>1873</v>
      </c>
      <c r="G17" s="230">
        <f t="shared" ref="G17:L17" si="3">G12+G16</f>
        <v>1979</v>
      </c>
      <c r="H17" s="230">
        <f t="shared" si="3"/>
        <v>2272</v>
      </c>
      <c r="I17" s="230">
        <f t="shared" si="3"/>
        <v>2416</v>
      </c>
      <c r="J17" s="230">
        <f t="shared" si="3"/>
        <v>2615</v>
      </c>
      <c r="K17" s="231">
        <f t="shared" si="3"/>
        <v>2552</v>
      </c>
      <c r="L17" s="231">
        <f t="shared" si="3"/>
        <v>1452</v>
      </c>
    </row>
    <row r="18" spans="1:12" ht="14.25" customHeight="1">
      <c r="A18" s="376"/>
      <c r="B18" s="334"/>
      <c r="C18" s="334"/>
      <c r="D18" s="334"/>
      <c r="E18" s="334"/>
      <c r="F18" s="334"/>
      <c r="G18" s="334"/>
      <c r="H18" s="334"/>
      <c r="I18" s="334"/>
      <c r="J18" s="334"/>
      <c r="K18" s="334"/>
      <c r="L18" s="334"/>
    </row>
    <row r="19" spans="1:12">
      <c r="A19" s="34" t="s">
        <v>336</v>
      </c>
      <c r="B19" s="256" t="s">
        <v>442</v>
      </c>
      <c r="C19" s="256"/>
      <c r="D19" s="256"/>
      <c r="E19" s="370"/>
      <c r="F19" s="370"/>
      <c r="G19" s="370"/>
      <c r="H19" s="370"/>
      <c r="I19" s="370"/>
      <c r="J19" s="370"/>
      <c r="K19" s="370"/>
    </row>
    <row r="20" spans="1:12">
      <c r="A20" s="34"/>
      <c r="B20" s="34"/>
      <c r="C20" s="34"/>
      <c r="D20" s="34"/>
    </row>
  </sheetData>
  <protectedRanges>
    <protectedRange sqref="A5:K7 A9:K11 A13:K15" name="Range1"/>
  </protectedRanges>
  <mergeCells count="1">
    <mergeCell ref="B1:G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2F1E6-18EE-4289-8CAC-7522707AD994}">
  <dimension ref="A1:O32"/>
  <sheetViews>
    <sheetView showGridLines="0" zoomScaleNormal="100" workbookViewId="0">
      <selection activeCell="E32" sqref="E32"/>
    </sheetView>
  </sheetViews>
  <sheetFormatPr defaultColWidth="9.1796875" defaultRowHeight="14"/>
  <cols>
    <col min="1" max="1" width="22" style="19" customWidth="1"/>
    <col min="2" max="6" width="10.1796875" style="19" bestFit="1" customWidth="1"/>
    <col min="7" max="16384" width="9.1796875" style="19"/>
  </cols>
  <sheetData>
    <row r="1" spans="1:14" ht="14.5">
      <c r="A1" s="20" t="s">
        <v>112</v>
      </c>
      <c r="B1" s="479" t="s">
        <v>113</v>
      </c>
      <c r="C1" s="480"/>
      <c r="D1" s="480"/>
      <c r="E1" s="480"/>
      <c r="F1" s="480"/>
      <c r="G1" s="480"/>
      <c r="I1" s="27" t="str">
        <f>HYPERLINK("#Contents!A9","BACK TO CONTENTS")</f>
        <v>BACK TO CONTENTS</v>
      </c>
    </row>
    <row r="3" spans="1:14">
      <c r="A3" s="20" t="s">
        <v>56</v>
      </c>
    </row>
    <row r="4" spans="1:14" ht="14.25" customHeight="1" thickBot="1">
      <c r="A4" s="101" t="s">
        <v>303</v>
      </c>
      <c r="B4" s="79">
        <v>2013</v>
      </c>
      <c r="C4" s="79">
        <v>2014</v>
      </c>
      <c r="D4" s="79">
        <v>2015</v>
      </c>
      <c r="E4" s="79">
        <v>2016</v>
      </c>
      <c r="F4" s="102">
        <v>2017</v>
      </c>
      <c r="G4" s="102">
        <v>2018</v>
      </c>
      <c r="H4" s="102">
        <v>2019</v>
      </c>
      <c r="I4" s="102">
        <v>2020</v>
      </c>
      <c r="J4" s="80">
        <v>2021</v>
      </c>
      <c r="K4" s="81">
        <v>2022</v>
      </c>
      <c r="L4" s="81">
        <v>2023</v>
      </c>
    </row>
    <row r="5" spans="1:14" ht="14.25" customHeight="1" thickTop="1">
      <c r="A5" s="92" t="s">
        <v>323</v>
      </c>
      <c r="B5" s="232">
        <v>36</v>
      </c>
      <c r="C5" s="232">
        <v>102</v>
      </c>
      <c r="D5" s="232">
        <v>146</v>
      </c>
      <c r="E5" s="232">
        <v>175</v>
      </c>
      <c r="F5" s="232">
        <v>190</v>
      </c>
      <c r="G5" s="232">
        <v>262</v>
      </c>
      <c r="H5" s="232">
        <v>405</v>
      </c>
      <c r="I5" s="232">
        <v>453</v>
      </c>
      <c r="J5" s="232">
        <v>466</v>
      </c>
      <c r="K5" s="233">
        <v>616</v>
      </c>
      <c r="L5" s="233">
        <v>873</v>
      </c>
    </row>
    <row r="6" spans="1:14" ht="14.25" customHeight="1">
      <c r="A6" s="92" t="s">
        <v>58</v>
      </c>
      <c r="B6" s="232">
        <v>11</v>
      </c>
      <c r="C6" s="232">
        <v>27</v>
      </c>
      <c r="D6" s="232">
        <v>44</v>
      </c>
      <c r="E6" s="232">
        <v>47</v>
      </c>
      <c r="F6" s="232">
        <v>57</v>
      </c>
      <c r="G6" s="232">
        <v>99</v>
      </c>
      <c r="H6" s="232">
        <v>167</v>
      </c>
      <c r="I6" s="232">
        <v>166</v>
      </c>
      <c r="J6" s="232">
        <v>228</v>
      </c>
      <c r="K6" s="233">
        <v>239</v>
      </c>
      <c r="L6" s="440"/>
    </row>
    <row r="7" spans="1:14" s="20" customFormat="1" ht="14.25" customHeight="1">
      <c r="A7" s="322" t="s">
        <v>59</v>
      </c>
      <c r="B7" s="323">
        <v>25</v>
      </c>
      <c r="C7" s="323">
        <v>76</v>
      </c>
      <c r="D7" s="323">
        <v>102</v>
      </c>
      <c r="E7" s="323">
        <v>128</v>
      </c>
      <c r="F7" s="323">
        <v>133</v>
      </c>
      <c r="G7" s="323">
        <v>163</v>
      </c>
      <c r="H7" s="323">
        <v>238</v>
      </c>
      <c r="I7" s="323">
        <v>286</v>
      </c>
      <c r="J7" s="323">
        <v>238</v>
      </c>
      <c r="K7" s="324">
        <v>377</v>
      </c>
      <c r="L7" s="441"/>
    </row>
    <row r="8" spans="1:14" ht="14.25" customHeight="1">
      <c r="A8" s="92" t="s">
        <v>97</v>
      </c>
      <c r="B8" s="234">
        <v>2</v>
      </c>
      <c r="C8" s="234">
        <v>6</v>
      </c>
      <c r="D8" s="234">
        <v>1</v>
      </c>
      <c r="E8" s="234">
        <v>7</v>
      </c>
      <c r="F8" s="234">
        <v>2</v>
      </c>
      <c r="G8" s="234">
        <v>3</v>
      </c>
      <c r="H8" s="234">
        <v>-7</v>
      </c>
      <c r="I8" s="234">
        <v>-3</v>
      </c>
      <c r="J8" s="234">
        <v>-3</v>
      </c>
      <c r="K8" s="235">
        <v>-38</v>
      </c>
      <c r="L8" s="442"/>
    </row>
    <row r="9" spans="1:14" s="20" customFormat="1" ht="14.25" customHeight="1">
      <c r="A9" s="322" t="s">
        <v>98</v>
      </c>
      <c r="B9" s="323">
        <v>25</v>
      </c>
      <c r="C9" s="323">
        <v>76</v>
      </c>
      <c r="D9" s="323">
        <v>102</v>
      </c>
      <c r="E9" s="323">
        <v>128</v>
      </c>
      <c r="F9" s="323">
        <v>130</v>
      </c>
      <c r="G9" s="323">
        <v>122</v>
      </c>
      <c r="H9" s="323">
        <v>231</v>
      </c>
      <c r="I9" s="323">
        <v>253</v>
      </c>
      <c r="J9" s="323">
        <v>237</v>
      </c>
      <c r="K9" s="324">
        <v>339</v>
      </c>
      <c r="L9" s="441"/>
    </row>
    <row r="10" spans="1:14" ht="14.25" customHeight="1">
      <c r="A10" s="92" t="s">
        <v>99</v>
      </c>
      <c r="B10" s="232"/>
      <c r="C10" s="232"/>
      <c r="D10" s="232"/>
      <c r="E10" s="232"/>
      <c r="F10" s="232">
        <v>69</v>
      </c>
      <c r="G10" s="232">
        <v>45</v>
      </c>
      <c r="H10" s="232">
        <v>143</v>
      </c>
      <c r="I10" s="232">
        <v>121</v>
      </c>
      <c r="J10" s="232">
        <v>146</v>
      </c>
      <c r="K10" s="233">
        <v>249</v>
      </c>
      <c r="L10" s="233">
        <v>293</v>
      </c>
    </row>
    <row r="11" spans="1:14" ht="14.25" customHeight="1">
      <c r="A11" s="92" t="s">
        <v>114</v>
      </c>
      <c r="B11" s="232"/>
      <c r="C11" s="232"/>
      <c r="D11" s="232"/>
      <c r="E11" s="232"/>
      <c r="F11" s="232">
        <v>-1</v>
      </c>
      <c r="G11" s="232">
        <v>6</v>
      </c>
      <c r="H11" s="232">
        <v>64</v>
      </c>
      <c r="I11" s="232">
        <v>37</v>
      </c>
      <c r="J11" s="232">
        <v>62</v>
      </c>
      <c r="K11" s="233">
        <v>85</v>
      </c>
      <c r="L11" s="440"/>
      <c r="N11" s="374"/>
    </row>
    <row r="12" spans="1:14" s="20" customFormat="1" ht="14.25" customHeight="1">
      <c r="A12" s="322" t="s">
        <v>115</v>
      </c>
      <c r="B12" s="323">
        <v>7</v>
      </c>
      <c r="C12" s="323">
        <v>28</v>
      </c>
      <c r="D12" s="323">
        <v>28</v>
      </c>
      <c r="E12" s="323">
        <v>53</v>
      </c>
      <c r="F12" s="323">
        <v>70</v>
      </c>
      <c r="G12" s="323">
        <v>51</v>
      </c>
      <c r="H12" s="323">
        <v>86</v>
      </c>
      <c r="I12" s="323">
        <v>84</v>
      </c>
      <c r="J12" s="323">
        <v>84</v>
      </c>
      <c r="K12" s="324">
        <v>164</v>
      </c>
      <c r="L12" s="441"/>
    </row>
    <row r="13" spans="1:14" ht="14.25" customHeight="1">
      <c r="A13" s="92" t="s">
        <v>67</v>
      </c>
      <c r="B13" s="232"/>
      <c r="C13" s="232"/>
      <c r="D13" s="232"/>
      <c r="E13" s="232"/>
      <c r="F13" s="232">
        <v>50</v>
      </c>
      <c r="G13" s="232">
        <v>53</v>
      </c>
      <c r="H13" s="232">
        <v>70</v>
      </c>
      <c r="I13" s="232">
        <v>104</v>
      </c>
      <c r="J13" s="232">
        <v>84</v>
      </c>
      <c r="K13" s="233">
        <v>112</v>
      </c>
      <c r="L13" s="440"/>
    </row>
    <row r="14" spans="1:14" ht="14.25" customHeight="1">
      <c r="A14" s="92" t="s">
        <v>116</v>
      </c>
      <c r="B14" s="232"/>
      <c r="C14" s="232"/>
      <c r="D14" s="232"/>
      <c r="E14" s="232"/>
      <c r="F14" s="232">
        <v>6</v>
      </c>
      <c r="G14" s="232">
        <v>12</v>
      </c>
      <c r="H14" s="232">
        <v>24</v>
      </c>
      <c r="I14" s="232">
        <v>30</v>
      </c>
      <c r="J14" s="232">
        <v>30</v>
      </c>
      <c r="K14" s="233">
        <v>30</v>
      </c>
      <c r="L14" s="440"/>
    </row>
    <row r="15" spans="1:14" s="20" customFormat="1" ht="14.25" customHeight="1">
      <c r="A15" s="322" t="s">
        <v>72</v>
      </c>
      <c r="B15" s="323">
        <v>7</v>
      </c>
      <c r="C15" s="323">
        <v>23</v>
      </c>
      <c r="D15" s="323">
        <v>37</v>
      </c>
      <c r="E15" s="323">
        <v>38</v>
      </c>
      <c r="F15" s="323">
        <v>44</v>
      </c>
      <c r="G15" s="323">
        <v>41</v>
      </c>
      <c r="H15" s="323">
        <v>57</v>
      </c>
      <c r="I15" s="323">
        <v>74</v>
      </c>
      <c r="J15" s="323">
        <v>54</v>
      </c>
      <c r="K15" s="324">
        <v>82</v>
      </c>
      <c r="L15" s="441"/>
    </row>
    <row r="16" spans="1:14" ht="14.25" customHeight="1">
      <c r="A16" s="92" t="s">
        <v>68</v>
      </c>
      <c r="B16" s="232">
        <v>11</v>
      </c>
      <c r="C16" s="232">
        <v>20</v>
      </c>
      <c r="D16" s="232">
        <v>29</v>
      </c>
      <c r="E16" s="232">
        <v>33</v>
      </c>
      <c r="F16" s="232">
        <v>36</v>
      </c>
      <c r="G16" s="232">
        <v>43</v>
      </c>
      <c r="H16" s="232">
        <v>59</v>
      </c>
      <c r="I16" s="232">
        <v>31</v>
      </c>
      <c r="J16" s="232">
        <v>56</v>
      </c>
      <c r="K16" s="233">
        <v>60</v>
      </c>
      <c r="L16" s="233">
        <v>38</v>
      </c>
    </row>
    <row r="17" spans="1:15" ht="14.25" customHeight="1">
      <c r="A17" s="92" t="s">
        <v>325</v>
      </c>
      <c r="B17" s="232">
        <v>24</v>
      </c>
      <c r="C17" s="232">
        <v>70</v>
      </c>
      <c r="D17" s="232">
        <v>95</v>
      </c>
      <c r="E17" s="232">
        <v>124</v>
      </c>
      <c r="F17" s="232">
        <v>149</v>
      </c>
      <c r="G17" s="232">
        <v>84</v>
      </c>
      <c r="H17" s="232">
        <v>202</v>
      </c>
      <c r="I17" s="232">
        <v>188</v>
      </c>
      <c r="J17" s="232">
        <v>194</v>
      </c>
      <c r="K17" s="233">
        <v>306</v>
      </c>
      <c r="L17" s="233">
        <v>239</v>
      </c>
      <c r="O17" s="178"/>
    </row>
    <row r="18" spans="1:15" ht="14.25" customHeight="1">
      <c r="A18" s="92" t="s">
        <v>105</v>
      </c>
      <c r="B18" s="232">
        <v>-1</v>
      </c>
      <c r="C18" s="232">
        <v>0</v>
      </c>
      <c r="D18" s="232">
        <v>6</v>
      </c>
      <c r="E18" s="232">
        <v>4</v>
      </c>
      <c r="F18" s="232">
        <v>-19</v>
      </c>
      <c r="G18" s="232">
        <v>-14</v>
      </c>
      <c r="H18" s="232">
        <v>29</v>
      </c>
      <c r="I18" s="232">
        <v>65</v>
      </c>
      <c r="J18" s="232">
        <v>43</v>
      </c>
      <c r="K18" s="233">
        <v>32</v>
      </c>
      <c r="L18" s="440"/>
      <c r="O18" s="178"/>
    </row>
    <row r="19" spans="1:15" ht="14.25" customHeight="1">
      <c r="A19" s="92" t="s">
        <v>106</v>
      </c>
      <c r="B19" s="232">
        <v>1</v>
      </c>
      <c r="C19" s="232">
        <v>1</v>
      </c>
      <c r="D19" s="232">
        <v>6</v>
      </c>
      <c r="E19" s="232">
        <v>1</v>
      </c>
      <c r="F19" s="232">
        <v>2</v>
      </c>
      <c r="G19" s="232">
        <v>4</v>
      </c>
      <c r="H19" s="232">
        <v>-2</v>
      </c>
      <c r="I19" s="232">
        <v>6</v>
      </c>
      <c r="J19" s="232">
        <v>8</v>
      </c>
      <c r="K19" s="233">
        <v>13</v>
      </c>
      <c r="L19" s="440"/>
    </row>
    <row r="20" spans="1:15" ht="14.25" customHeight="1">
      <c r="A20" s="92" t="s">
        <v>63</v>
      </c>
      <c r="B20" s="232">
        <v>1</v>
      </c>
      <c r="C20" s="232">
        <v>7</v>
      </c>
      <c r="D20" s="232">
        <v>7</v>
      </c>
      <c r="E20" s="232">
        <v>4</v>
      </c>
      <c r="F20" s="232">
        <v>-2</v>
      </c>
      <c r="G20" s="232">
        <v>37</v>
      </c>
      <c r="H20" s="232">
        <v>6</v>
      </c>
      <c r="I20" s="232">
        <v>-2</v>
      </c>
      <c r="J20" s="232">
        <v>4</v>
      </c>
      <c r="K20" s="233">
        <v>4</v>
      </c>
      <c r="L20" s="440"/>
    </row>
    <row r="21" spans="1:15" s="20" customFormat="1" ht="14.25" customHeight="1">
      <c r="A21" s="322" t="s">
        <v>74</v>
      </c>
      <c r="B21" s="323">
        <v>2</v>
      </c>
      <c r="C21" s="323">
        <v>7</v>
      </c>
      <c r="D21" s="323">
        <v>19</v>
      </c>
      <c r="E21" s="323">
        <v>8</v>
      </c>
      <c r="F21" s="323">
        <v>-19</v>
      </c>
      <c r="G21" s="323">
        <v>27</v>
      </c>
      <c r="H21" s="323">
        <v>33</v>
      </c>
      <c r="I21" s="323">
        <v>69</v>
      </c>
      <c r="J21" s="323">
        <v>55</v>
      </c>
      <c r="K21" s="324">
        <v>49</v>
      </c>
      <c r="L21" s="324">
        <v>124</v>
      </c>
    </row>
    <row r="22" spans="1:15" ht="14.25" customHeight="1">
      <c r="A22" s="92" t="s">
        <v>75</v>
      </c>
      <c r="B22" s="232">
        <v>0</v>
      </c>
      <c r="C22" s="232">
        <v>2</v>
      </c>
      <c r="D22" s="232">
        <v>5</v>
      </c>
      <c r="E22" s="232">
        <v>2</v>
      </c>
      <c r="F22" s="232">
        <v>1</v>
      </c>
      <c r="G22" s="232">
        <v>4</v>
      </c>
      <c r="H22" s="232">
        <v>7</v>
      </c>
      <c r="I22" s="232">
        <v>16</v>
      </c>
      <c r="J22" s="232">
        <v>13</v>
      </c>
      <c r="K22" s="233">
        <v>12</v>
      </c>
      <c r="L22" s="233">
        <v>27</v>
      </c>
    </row>
    <row r="23" spans="1:15" s="20" customFormat="1" ht="14.25" customHeight="1">
      <c r="A23" s="325" t="s">
        <v>76</v>
      </c>
      <c r="B23" s="326">
        <v>2</v>
      </c>
      <c r="C23" s="326">
        <v>5</v>
      </c>
      <c r="D23" s="326">
        <v>14</v>
      </c>
      <c r="E23" s="326">
        <v>6</v>
      </c>
      <c r="F23" s="326">
        <v>-20</v>
      </c>
      <c r="G23" s="326">
        <v>23</v>
      </c>
      <c r="H23" s="326">
        <v>26</v>
      </c>
      <c r="I23" s="326">
        <v>53</v>
      </c>
      <c r="J23" s="326">
        <v>43</v>
      </c>
      <c r="K23" s="327">
        <v>37</v>
      </c>
      <c r="L23" s="327">
        <v>98</v>
      </c>
    </row>
    <row r="24" spans="1:15">
      <c r="A24" s="34"/>
      <c r="B24" s="34"/>
    </row>
    <row r="25" spans="1:15">
      <c r="A25" s="177" t="s">
        <v>286</v>
      </c>
      <c r="B25" s="34"/>
    </row>
    <row r="26" spans="1:15">
      <c r="A26" s="177" t="s">
        <v>287</v>
      </c>
      <c r="B26" s="34"/>
    </row>
    <row r="27" spans="1:15">
      <c r="A27" s="177" t="s">
        <v>288</v>
      </c>
      <c r="B27" s="34"/>
    </row>
    <row r="29" spans="1:15">
      <c r="A29" s="180" t="s">
        <v>37</v>
      </c>
      <c r="B29" s="181" t="s">
        <v>442</v>
      </c>
    </row>
    <row r="30" spans="1:15">
      <c r="A30" s="180" t="s">
        <v>38</v>
      </c>
      <c r="B30" s="181" t="s">
        <v>324</v>
      </c>
      <c r="C30" s="181"/>
      <c r="D30" s="181"/>
    </row>
    <row r="31" spans="1:15">
      <c r="A31" s="180" t="s">
        <v>39</v>
      </c>
      <c r="B31" s="181" t="s">
        <v>330</v>
      </c>
      <c r="C31" s="181"/>
      <c r="D31" s="181"/>
    </row>
    <row r="32" spans="1:15">
      <c r="A32" s="180"/>
      <c r="B32" s="181"/>
      <c r="C32" s="181"/>
      <c r="D32" s="181"/>
    </row>
  </sheetData>
  <mergeCells count="1">
    <mergeCell ref="B1:G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412C5-DE18-49D2-AEDD-3DB3B8C8B83A}">
  <dimension ref="A1:L19"/>
  <sheetViews>
    <sheetView showGridLines="0" zoomScaleNormal="100" workbookViewId="0">
      <selection activeCell="H21" sqref="H21"/>
    </sheetView>
  </sheetViews>
  <sheetFormatPr defaultColWidth="9.1796875" defaultRowHeight="14"/>
  <cols>
    <col min="1" max="1" width="25.7265625" style="19" customWidth="1"/>
    <col min="2" max="5" width="9.1796875" style="19"/>
    <col min="6" max="6" width="9.81640625" style="19" bestFit="1" customWidth="1"/>
    <col min="7" max="16384" width="9.1796875" style="19"/>
  </cols>
  <sheetData>
    <row r="1" spans="1:12" ht="14.5">
      <c r="A1" s="20" t="s">
        <v>117</v>
      </c>
      <c r="B1" s="479" t="s">
        <v>118</v>
      </c>
      <c r="C1" s="480"/>
      <c r="D1" s="480"/>
      <c r="E1" s="480"/>
      <c r="F1" s="480"/>
      <c r="G1" s="480"/>
      <c r="I1" s="27" t="str">
        <f>HYPERLINK("#Contents!A9","BACK TO CONTENTS")</f>
        <v>BACK TO CONTENTS</v>
      </c>
    </row>
    <row r="3" spans="1:12">
      <c r="A3" s="20" t="s">
        <v>56</v>
      </c>
    </row>
    <row r="4" spans="1:12" ht="14.25" customHeight="1" thickBot="1">
      <c r="A4" s="88" t="s">
        <v>443</v>
      </c>
      <c r="B4" s="79">
        <v>2013</v>
      </c>
      <c r="C4" s="79">
        <v>2014</v>
      </c>
      <c r="D4" s="79">
        <v>2015</v>
      </c>
      <c r="E4" s="79">
        <v>2016</v>
      </c>
      <c r="F4" s="89">
        <v>2017</v>
      </c>
      <c r="G4" s="89">
        <v>2018</v>
      </c>
      <c r="H4" s="89">
        <v>2019</v>
      </c>
      <c r="I4" s="89">
        <v>2020</v>
      </c>
      <c r="J4" s="79">
        <v>2021</v>
      </c>
      <c r="K4" s="91">
        <v>2022</v>
      </c>
      <c r="L4" s="91">
        <v>2023</v>
      </c>
    </row>
    <row r="5" spans="1:12" ht="14.25" customHeight="1" thickTop="1">
      <c r="A5" s="131" t="s">
        <v>79</v>
      </c>
      <c r="B5" s="236">
        <v>30</v>
      </c>
      <c r="C5" s="236">
        <v>100</v>
      </c>
      <c r="D5" s="236">
        <v>118</v>
      </c>
      <c r="E5" s="236">
        <v>121</v>
      </c>
      <c r="F5" s="236">
        <v>97</v>
      </c>
      <c r="G5" s="236">
        <v>172</v>
      </c>
      <c r="H5" s="236">
        <v>210</v>
      </c>
      <c r="I5" s="236">
        <v>175</v>
      </c>
      <c r="J5" s="236">
        <v>247</v>
      </c>
      <c r="K5" s="237">
        <v>271</v>
      </c>
      <c r="L5" s="443"/>
    </row>
    <row r="6" spans="1:12" ht="14.25" customHeight="1">
      <c r="A6" s="131" t="s">
        <v>109</v>
      </c>
      <c r="B6" s="236">
        <v>1</v>
      </c>
      <c r="C6" s="236">
        <v>6</v>
      </c>
      <c r="D6" s="236">
        <v>5</v>
      </c>
      <c r="E6" s="236">
        <v>4</v>
      </c>
      <c r="F6" s="236">
        <v>4</v>
      </c>
      <c r="G6" s="236">
        <v>3</v>
      </c>
      <c r="H6" s="236">
        <v>11</v>
      </c>
      <c r="I6" s="236">
        <v>4</v>
      </c>
      <c r="J6" s="236">
        <v>4</v>
      </c>
      <c r="K6" s="237">
        <v>53</v>
      </c>
      <c r="L6" s="443"/>
    </row>
    <row r="7" spans="1:12" ht="14.25" customHeight="1">
      <c r="A7" s="131" t="s">
        <v>110</v>
      </c>
      <c r="B7" s="236">
        <v>19</v>
      </c>
      <c r="C7" s="236">
        <v>88</v>
      </c>
      <c r="D7" s="236">
        <v>111</v>
      </c>
      <c r="E7" s="236">
        <v>124</v>
      </c>
      <c r="F7" s="236">
        <v>153</v>
      </c>
      <c r="G7" s="236">
        <v>219</v>
      </c>
      <c r="H7" s="236">
        <v>284</v>
      </c>
      <c r="I7" s="236">
        <v>357</v>
      </c>
      <c r="J7" s="236">
        <v>433</v>
      </c>
      <c r="K7" s="237">
        <v>518</v>
      </c>
      <c r="L7" s="443"/>
    </row>
    <row r="8" spans="1:12" ht="14.25" customHeight="1">
      <c r="A8" s="104" t="s">
        <v>82</v>
      </c>
      <c r="B8" s="238">
        <f>SUM(B5:B7)</f>
        <v>50</v>
      </c>
      <c r="C8" s="238">
        <f>SUM(C5:C7)</f>
        <v>194</v>
      </c>
      <c r="D8" s="238">
        <f>SUM(D5:D7)</f>
        <v>234</v>
      </c>
      <c r="E8" s="238">
        <f>SUM(E5:E7)</f>
        <v>249</v>
      </c>
      <c r="F8" s="238">
        <f t="shared" ref="F8:K8" si="0">SUM(F5:F7)</f>
        <v>254</v>
      </c>
      <c r="G8" s="238">
        <f t="shared" si="0"/>
        <v>394</v>
      </c>
      <c r="H8" s="238">
        <f t="shared" si="0"/>
        <v>505</v>
      </c>
      <c r="I8" s="238">
        <f t="shared" si="0"/>
        <v>536</v>
      </c>
      <c r="J8" s="238">
        <f t="shared" si="0"/>
        <v>684</v>
      </c>
      <c r="K8" s="228">
        <f t="shared" si="0"/>
        <v>842</v>
      </c>
      <c r="L8" s="228">
        <v>1096</v>
      </c>
    </row>
    <row r="9" spans="1:12" ht="14.25" customHeight="1">
      <c r="A9" s="131" t="s">
        <v>83</v>
      </c>
      <c r="B9" s="236">
        <v>15</v>
      </c>
      <c r="C9" s="236">
        <v>56</v>
      </c>
      <c r="D9" s="236">
        <v>70</v>
      </c>
      <c r="E9" s="236">
        <v>85</v>
      </c>
      <c r="F9" s="236">
        <v>132</v>
      </c>
      <c r="G9" s="236">
        <v>183</v>
      </c>
      <c r="H9" s="236">
        <v>255</v>
      </c>
      <c r="I9" s="236">
        <v>312</v>
      </c>
      <c r="J9" s="236">
        <v>352</v>
      </c>
      <c r="K9" s="237">
        <v>440</v>
      </c>
      <c r="L9" s="443"/>
    </row>
    <row r="10" spans="1:12" ht="14.25" customHeight="1">
      <c r="A10" s="131" t="s">
        <v>84</v>
      </c>
      <c r="B10" s="236">
        <v>0</v>
      </c>
      <c r="C10" s="236">
        <v>0</v>
      </c>
      <c r="D10" s="236">
        <v>1</v>
      </c>
      <c r="E10" s="236">
        <v>1</v>
      </c>
      <c r="F10" s="236">
        <v>0</v>
      </c>
      <c r="G10" s="236">
        <v>1</v>
      </c>
      <c r="H10" s="236">
        <v>0</v>
      </c>
      <c r="I10" s="236">
        <v>0</v>
      </c>
      <c r="J10" s="236">
        <v>0</v>
      </c>
      <c r="K10" s="237">
        <v>0</v>
      </c>
      <c r="L10" s="443"/>
    </row>
    <row r="11" spans="1:12" ht="14.25" customHeight="1">
      <c r="A11" s="131" t="s">
        <v>85</v>
      </c>
      <c r="B11" s="236">
        <v>8</v>
      </c>
      <c r="C11" s="236">
        <v>40</v>
      </c>
      <c r="D11" s="236">
        <v>53</v>
      </c>
      <c r="E11" s="236">
        <v>48</v>
      </c>
      <c r="F11" s="236">
        <v>25</v>
      </c>
      <c r="G11" s="236">
        <v>45</v>
      </c>
      <c r="H11" s="236">
        <v>60</v>
      </c>
      <c r="I11" s="236">
        <v>33</v>
      </c>
      <c r="J11" s="236">
        <v>62</v>
      </c>
      <c r="K11" s="237">
        <v>103</v>
      </c>
      <c r="L11" s="443"/>
    </row>
    <row r="12" spans="1:12" ht="14.25" customHeight="1">
      <c r="A12" s="104" t="s">
        <v>86</v>
      </c>
      <c r="B12" s="238">
        <f t="shared" ref="B12:K12" si="1">SUM(B9:B11)</f>
        <v>23</v>
      </c>
      <c r="C12" s="238">
        <f t="shared" si="1"/>
        <v>96</v>
      </c>
      <c r="D12" s="238">
        <f t="shared" si="1"/>
        <v>124</v>
      </c>
      <c r="E12" s="238">
        <f t="shared" si="1"/>
        <v>134</v>
      </c>
      <c r="F12" s="238">
        <f t="shared" si="1"/>
        <v>157</v>
      </c>
      <c r="G12" s="238">
        <f t="shared" si="1"/>
        <v>229</v>
      </c>
      <c r="H12" s="238">
        <f t="shared" si="1"/>
        <v>315</v>
      </c>
      <c r="I12" s="238">
        <f t="shared" si="1"/>
        <v>345</v>
      </c>
      <c r="J12" s="238">
        <f t="shared" si="1"/>
        <v>414</v>
      </c>
      <c r="K12" s="228">
        <f t="shared" si="1"/>
        <v>543</v>
      </c>
      <c r="L12" s="228">
        <v>562</v>
      </c>
    </row>
    <row r="13" spans="1:12" ht="14.25" customHeight="1">
      <c r="A13" s="131" t="s">
        <v>87</v>
      </c>
      <c r="B13" s="236">
        <v>26</v>
      </c>
      <c r="C13" s="236">
        <v>92</v>
      </c>
      <c r="D13" s="236">
        <v>92</v>
      </c>
      <c r="E13" s="236">
        <v>92</v>
      </c>
      <c r="F13" s="236">
        <v>93</v>
      </c>
      <c r="G13" s="236">
        <v>96</v>
      </c>
      <c r="H13" s="236">
        <v>146</v>
      </c>
      <c r="I13" s="236">
        <v>96</v>
      </c>
      <c r="J13" s="236">
        <v>136</v>
      </c>
      <c r="K13" s="237">
        <v>143</v>
      </c>
      <c r="L13" s="443"/>
    </row>
    <row r="14" spans="1:12" ht="14.25" customHeight="1">
      <c r="A14" s="131" t="s">
        <v>88</v>
      </c>
      <c r="B14" s="236">
        <v>3</v>
      </c>
      <c r="C14" s="236">
        <v>6</v>
      </c>
      <c r="D14" s="236">
        <v>10</v>
      </c>
      <c r="E14" s="236">
        <v>12</v>
      </c>
      <c r="F14" s="236">
        <v>14</v>
      </c>
      <c r="G14" s="236">
        <v>66</v>
      </c>
      <c r="H14" s="236">
        <v>26</v>
      </c>
      <c r="I14" s="236">
        <v>31</v>
      </c>
      <c r="J14" s="236">
        <v>27</v>
      </c>
      <c r="K14" s="237">
        <v>26</v>
      </c>
      <c r="L14" s="443"/>
    </row>
    <row r="15" spans="1:12" ht="14.25" customHeight="1">
      <c r="A15" s="131" t="s">
        <v>89</v>
      </c>
      <c r="B15" s="236">
        <v>-4</v>
      </c>
      <c r="C15" s="236">
        <v>-2</v>
      </c>
      <c r="D15" s="236">
        <v>8</v>
      </c>
      <c r="E15" s="236">
        <v>11</v>
      </c>
      <c r="F15" s="236">
        <v>-11</v>
      </c>
      <c r="G15" s="236">
        <v>2</v>
      </c>
      <c r="H15" s="236">
        <v>17</v>
      </c>
      <c r="I15" s="236">
        <v>64</v>
      </c>
      <c r="J15" s="236">
        <v>106</v>
      </c>
      <c r="K15" s="237">
        <v>130</v>
      </c>
      <c r="L15" s="443"/>
    </row>
    <row r="16" spans="1:12" ht="14.25" customHeight="1">
      <c r="A16" s="104" t="s">
        <v>90</v>
      </c>
      <c r="B16" s="238">
        <f>SUM(B13:B15)</f>
        <v>25</v>
      </c>
      <c r="C16" s="238">
        <f>SUM(C13:C15)</f>
        <v>96</v>
      </c>
      <c r="D16" s="238">
        <f>SUM(D13:D15)</f>
        <v>110</v>
      </c>
      <c r="E16" s="238">
        <f>SUM(E13:E15)</f>
        <v>115</v>
      </c>
      <c r="F16" s="238">
        <f t="shared" ref="F16:K16" si="2">SUM(F13:F15)</f>
        <v>96</v>
      </c>
      <c r="G16" s="238">
        <f t="shared" si="2"/>
        <v>164</v>
      </c>
      <c r="H16" s="238">
        <f t="shared" si="2"/>
        <v>189</v>
      </c>
      <c r="I16" s="238">
        <f t="shared" si="2"/>
        <v>191</v>
      </c>
      <c r="J16" s="238">
        <f t="shared" si="2"/>
        <v>269</v>
      </c>
      <c r="K16" s="228">
        <f t="shared" si="2"/>
        <v>299</v>
      </c>
      <c r="L16" s="228">
        <v>534</v>
      </c>
    </row>
    <row r="17" spans="1:12" ht="14.25" customHeight="1">
      <c r="A17" s="105" t="s">
        <v>119</v>
      </c>
      <c r="B17" s="239">
        <f t="shared" ref="B17:L17" si="3">B16+B12</f>
        <v>48</v>
      </c>
      <c r="C17" s="239">
        <f t="shared" si="3"/>
        <v>192</v>
      </c>
      <c r="D17" s="239">
        <f t="shared" si="3"/>
        <v>234</v>
      </c>
      <c r="E17" s="239">
        <f t="shared" si="3"/>
        <v>249</v>
      </c>
      <c r="F17" s="239">
        <f t="shared" si="3"/>
        <v>253</v>
      </c>
      <c r="G17" s="239">
        <f t="shared" si="3"/>
        <v>393</v>
      </c>
      <c r="H17" s="239">
        <f t="shared" si="3"/>
        <v>504</v>
      </c>
      <c r="I17" s="239">
        <f t="shared" si="3"/>
        <v>536</v>
      </c>
      <c r="J17" s="239">
        <f t="shared" si="3"/>
        <v>683</v>
      </c>
      <c r="K17" s="240">
        <f t="shared" si="3"/>
        <v>842</v>
      </c>
      <c r="L17" s="240">
        <f t="shared" si="3"/>
        <v>1096</v>
      </c>
    </row>
    <row r="19" spans="1:12">
      <c r="A19" s="34" t="s">
        <v>336</v>
      </c>
      <c r="B19" s="34" t="s">
        <v>442</v>
      </c>
    </row>
  </sheetData>
  <protectedRanges>
    <protectedRange sqref="A5:K7 A9:K11 A13:K15" name="Range1"/>
  </protectedRanges>
  <mergeCells count="1"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E1963-88E9-4E3E-9C9D-DFEB29274B32}">
  <dimension ref="A1:K71"/>
  <sheetViews>
    <sheetView showGridLines="0" workbookViewId="0">
      <selection activeCell="A43" sqref="A43"/>
    </sheetView>
  </sheetViews>
  <sheetFormatPr defaultColWidth="9.1796875" defaultRowHeight="14"/>
  <cols>
    <col min="1" max="1" width="21" style="28" bestFit="1" customWidth="1"/>
    <col min="2" max="2" width="81.7265625" style="19" customWidth="1"/>
    <col min="3" max="16384" width="9.1796875" style="19"/>
  </cols>
  <sheetData>
    <row r="1" spans="1:3" s="20" customFormat="1">
      <c r="A1" s="29" t="s">
        <v>0</v>
      </c>
      <c r="B1" s="20" t="s">
        <v>450</v>
      </c>
    </row>
    <row r="3" spans="1:3">
      <c r="A3" s="62">
        <v>1</v>
      </c>
      <c r="B3" s="63" t="s">
        <v>1</v>
      </c>
      <c r="C3" s="64"/>
    </row>
    <row r="4" spans="1:3">
      <c r="A4" s="65">
        <v>1.1000000000000001</v>
      </c>
      <c r="B4" s="114" t="str">
        <f>HYPERLINK("#Mandate!A1", "Mandate, Vision, Mission and Values")</f>
        <v>Mandate, Vision, Mission and Values</v>
      </c>
      <c r="C4" s="64"/>
    </row>
    <row r="5" spans="1:3">
      <c r="A5" s="65"/>
      <c r="B5" s="64"/>
      <c r="C5" s="64"/>
    </row>
    <row r="6" spans="1:3" s="20" customFormat="1">
      <c r="A6" s="62">
        <v>2</v>
      </c>
      <c r="B6" s="63" t="s">
        <v>2</v>
      </c>
      <c r="C6" s="63"/>
    </row>
    <row r="7" spans="1:3" s="20" customFormat="1">
      <c r="A7" s="65">
        <v>2.1</v>
      </c>
      <c r="B7" s="115" t="str">
        <f>HYPERLINK("#2.1!A1", "Number of Regulated Entities per Regulatory Departments")</f>
        <v>Number of Regulated Entities per Regulatory Departments</v>
      </c>
      <c r="C7" s="63"/>
    </row>
    <row r="8" spans="1:3">
      <c r="A8" s="65">
        <v>2.2000000000000002</v>
      </c>
      <c r="B8" s="115" t="str">
        <f>HYPERLINK("#2.2!A1", "Financial Position of the NBFIs: Balance Sheet")</f>
        <v>Financial Position of the NBFIs: Balance Sheet</v>
      </c>
      <c r="C8" s="64"/>
    </row>
    <row r="9" spans="1:3">
      <c r="A9" s="65">
        <v>2.2999999999999998</v>
      </c>
      <c r="B9" s="115" t="str">
        <f>HYPERLINK("#2.3!A1", "Financial Performance of the NBFIs: Income Statement")</f>
        <v>Financial Performance of the NBFIs: Income Statement</v>
      </c>
      <c r="C9" s="64"/>
    </row>
    <row r="10" spans="1:3">
      <c r="A10" s="65">
        <v>2.4</v>
      </c>
      <c r="B10" s="115" t="str">
        <f>HYPERLINK("#2.4!A1","Enforcement Matters for the NBFI Sector")</f>
        <v>Enforcement Matters for the NBFI Sector</v>
      </c>
      <c r="C10" s="64"/>
    </row>
    <row r="11" spans="1:3">
      <c r="A11" s="65">
        <v>2.5</v>
      </c>
      <c r="B11" s="115" t="str">
        <f>HYPERLINK("#2.5!A1","Financial Soundness Indicators of the NBFI Sector")</f>
        <v>Financial Soundness Indicators of the NBFI Sector</v>
      </c>
      <c r="C11" s="64"/>
    </row>
    <row r="12" spans="1:3">
      <c r="A12" s="65">
        <v>2.6</v>
      </c>
      <c r="B12" s="115" t="str">
        <f>HYPERLINK("#2.6!A1","Macroprudential Indicators of the NBFI Sector")</f>
        <v>Macroprudential Indicators of the NBFI Sector</v>
      </c>
      <c r="C12" s="64"/>
    </row>
    <row r="13" spans="1:3">
      <c r="A13" s="65"/>
      <c r="B13" s="114"/>
    </row>
    <row r="14" spans="1:3" s="20" customFormat="1">
      <c r="A14" s="62">
        <v>3</v>
      </c>
      <c r="B14" s="63" t="s">
        <v>3</v>
      </c>
    </row>
    <row r="15" spans="1:3" s="20" customFormat="1">
      <c r="A15" s="66">
        <v>3</v>
      </c>
      <c r="B15" s="63" t="s">
        <v>4</v>
      </c>
    </row>
    <row r="16" spans="1:3" s="20" customFormat="1">
      <c r="A16" s="67">
        <v>3.01</v>
      </c>
      <c r="B16" s="115" t="str">
        <f>HYPERLINK("#3.01!A1","The Number of Regulated Insurance and Medical Aid Entities")</f>
        <v>The Number of Regulated Insurance and Medical Aid Entities</v>
      </c>
    </row>
    <row r="17" spans="1:2" s="20" customFormat="1">
      <c r="A17" s="67">
        <v>3.02</v>
      </c>
      <c r="B17" s="115" t="str">
        <f>HYPERLINK("#3.02!A1","Insurance and Medical Aid Entities Financial Position")</f>
        <v>Insurance and Medical Aid Entities Financial Position</v>
      </c>
    </row>
    <row r="18" spans="1:2" s="20" customFormat="1">
      <c r="A18" s="67">
        <v>3.03</v>
      </c>
      <c r="B18" s="116" t="str">
        <f>HYPERLINK("#3.03!A1","Insurance and Medical Aid Financial Performance")</f>
        <v>Insurance and Medical Aid Financial Performance</v>
      </c>
    </row>
    <row r="19" spans="1:2" s="20" customFormat="1">
      <c r="A19" s="65">
        <v>3.04</v>
      </c>
      <c r="B19" s="116" t="str">
        <f>HYPERLINK("#3.04!A1","Enforcement Matters for Insurance and Medical Aid Funds")</f>
        <v>Enforcement Matters for Insurance and Medical Aid Funds</v>
      </c>
    </row>
    <row r="20" spans="1:2" s="20" customFormat="1">
      <c r="A20" s="62"/>
      <c r="B20" s="114"/>
    </row>
    <row r="21" spans="1:2" s="20" customFormat="1">
      <c r="A21" s="62">
        <v>3.1</v>
      </c>
      <c r="B21" s="63" t="s">
        <v>5</v>
      </c>
    </row>
    <row r="22" spans="1:2">
      <c r="A22" s="65">
        <v>3.11</v>
      </c>
      <c r="B22" s="115" t="str">
        <f>HYPERLINK("#3.11!A1", "Audited Annual Financial Performance of Life Insurers")</f>
        <v>Audited Annual Financial Performance of Life Insurers</v>
      </c>
    </row>
    <row r="23" spans="1:2">
      <c r="A23" s="65">
        <v>3.12</v>
      </c>
      <c r="B23" s="115" t="str">
        <f>HYPERLINK("#3.12!A1", "Audited Annual Financial Position of Life Insurers")</f>
        <v>Audited Annual Financial Position of Life Insurers</v>
      </c>
    </row>
    <row r="24" spans="1:2" ht="14.5">
      <c r="A24" s="65"/>
      <c r="B24" s="117"/>
    </row>
    <row r="25" spans="1:2">
      <c r="A25" s="62">
        <v>3.2</v>
      </c>
      <c r="B25" s="63" t="s">
        <v>6</v>
      </c>
    </row>
    <row r="26" spans="1:2">
      <c r="A26" s="65">
        <v>3.21</v>
      </c>
      <c r="B26" s="114" t="str">
        <f>HYPERLINK("#3.21!A1", "Audited Annual Financial Performance of General Insurers")</f>
        <v>Audited Annual Financial Performance of General Insurers</v>
      </c>
    </row>
    <row r="27" spans="1:2">
      <c r="A27" s="65">
        <v>3.22</v>
      </c>
      <c r="B27" s="114" t="str">
        <f>HYPERLINK("#3.22!A1", "Audited Annual Financial Position of General Insurers")</f>
        <v>Audited Annual Financial Position of General Insurers</v>
      </c>
    </row>
    <row r="28" spans="1:2">
      <c r="A28" s="65"/>
      <c r="B28" s="114"/>
    </row>
    <row r="29" spans="1:2">
      <c r="A29" s="62">
        <v>3.3</v>
      </c>
      <c r="B29" s="63" t="s">
        <v>7</v>
      </c>
    </row>
    <row r="30" spans="1:2">
      <c r="A30" s="65">
        <v>3.31</v>
      </c>
      <c r="B30" s="115" t="str">
        <f>HYPERLINK("#3.31!A1", "Audited Annual Financial Performance of Reinsurers")</f>
        <v>Audited Annual Financial Performance of Reinsurers</v>
      </c>
    </row>
    <row r="31" spans="1:2">
      <c r="A31" s="65">
        <v>3.32</v>
      </c>
      <c r="B31" s="115" t="str">
        <f>HYPERLINK("#3.32!A1", "Audited Annual Financial Position of Reinsurers")</f>
        <v>Audited Annual Financial Position of Reinsurers</v>
      </c>
    </row>
    <row r="32" spans="1:2" ht="14.5">
      <c r="A32" s="65"/>
      <c r="B32" s="118"/>
    </row>
    <row r="33" spans="1:11">
      <c r="A33" s="62">
        <v>3.4</v>
      </c>
      <c r="B33" s="63" t="s">
        <v>8</v>
      </c>
    </row>
    <row r="34" spans="1:11">
      <c r="A34" s="65">
        <v>3.41</v>
      </c>
      <c r="B34" s="115" t="str">
        <f>HYPERLINK("#3.41!A1", "Audited Annual Financial Performance of Insurance Brokers")</f>
        <v>Audited Annual Financial Performance of Insurance Brokers</v>
      </c>
    </row>
    <row r="35" spans="1:11">
      <c r="A35" s="65">
        <v>3.42</v>
      </c>
      <c r="B35" s="115" t="str">
        <f>HYPERLINK("#3.42!A1", "Audited Annual Financial Position of Insurance Brokers")</f>
        <v>Audited Annual Financial Position of Insurance Brokers</v>
      </c>
    </row>
    <row r="36" spans="1:11">
      <c r="A36" s="65"/>
      <c r="B36" s="114"/>
    </row>
    <row r="37" spans="1:11">
      <c r="A37" s="62">
        <v>3.5</v>
      </c>
      <c r="B37" s="63" t="s">
        <v>9</v>
      </c>
    </row>
    <row r="38" spans="1:11">
      <c r="A38" s="65">
        <v>3.51</v>
      </c>
      <c r="B38" s="114" t="str">
        <f>HYPERLINK("#3.51!A1", "Audited Annual Financial Performance of Medical Aid Funds:Balance Sheet")</f>
        <v>Audited Annual Financial Performance of Medical Aid Funds:Balance Sheet</v>
      </c>
    </row>
    <row r="39" spans="1:11">
      <c r="A39" s="65">
        <v>3.52</v>
      </c>
      <c r="B39" s="114" t="str">
        <f>HYPERLINK("#3.52!A1", "Audited Annual Financial Performance of Medical Aid Funds:Income Statement")</f>
        <v>Audited Annual Financial Performance of Medical Aid Funds:Income Statement</v>
      </c>
    </row>
    <row r="40" spans="1:11">
      <c r="A40" s="65"/>
      <c r="B40" s="114"/>
    </row>
    <row r="41" spans="1:11">
      <c r="A41" s="62">
        <v>4.0999999999999996</v>
      </c>
      <c r="B41" s="63" t="s">
        <v>10</v>
      </c>
      <c r="G41" s="478"/>
      <c r="H41" s="478"/>
      <c r="I41" s="478"/>
      <c r="J41" s="478"/>
      <c r="K41" s="478"/>
    </row>
    <row r="42" spans="1:11">
      <c r="A42" s="65">
        <v>4.1100000000000003</v>
      </c>
      <c r="B42" s="114" t="str">
        <f>HYPERLINK("#4.11!A1", "The Number of Retirement Funds Members")</f>
        <v>The Number of Retirement Funds Members</v>
      </c>
    </row>
    <row r="43" spans="1:11">
      <c r="A43" s="65">
        <v>4.12</v>
      </c>
      <c r="B43" s="114" t="str">
        <f>HYPERLINK("#4.12!A1", "Audited Annual Financial Performance of Retirement Funds")</f>
        <v>Audited Annual Financial Performance of Retirement Funds</v>
      </c>
    </row>
    <row r="44" spans="1:11">
      <c r="A44" s="65">
        <v>4.13</v>
      </c>
      <c r="B44" s="114" t="str">
        <f>HYPERLINK("#4.13!A1","Enforcement Matters for Retirement Funds")</f>
        <v>Enforcement Matters for Retirement Funds</v>
      </c>
    </row>
    <row r="45" spans="1:11">
      <c r="A45" s="65">
        <v>4.1399999999999997</v>
      </c>
      <c r="B45" s="114" t="str">
        <f>HYPERLINK("#4.14!A1","Abridged Balance Sheet of the Retirement Funds Industry")</f>
        <v>Abridged Balance Sheet of the Retirement Funds Industry</v>
      </c>
    </row>
    <row r="46" spans="1:11">
      <c r="A46" s="65"/>
      <c r="B46" s="114"/>
    </row>
    <row r="47" spans="1:11">
      <c r="A47" s="62">
        <v>5</v>
      </c>
      <c r="B47" s="63" t="s">
        <v>11</v>
      </c>
    </row>
    <row r="48" spans="1:11">
      <c r="A48" s="65">
        <v>5.01</v>
      </c>
      <c r="B48" s="114" t="str">
        <f>HYPERLINK("#5.01!A1", "The Number of Capital Markets Entities")</f>
        <v>The Number of Capital Markets Entities</v>
      </c>
    </row>
    <row r="49" spans="1:9">
      <c r="A49" s="65">
        <v>5.0199999999999996</v>
      </c>
      <c r="B49" s="115" t="str">
        <f>HYPERLINK("#5.02!A1", "Audited Annual Financial Position of Capital Markets")</f>
        <v>Audited Annual Financial Position of Capital Markets</v>
      </c>
    </row>
    <row r="50" spans="1:9">
      <c r="A50" s="65">
        <v>5.03</v>
      </c>
      <c r="B50" s="114" t="str">
        <f>HYPERLINK("#5.03!A1", "Audited Annual Financial Performance of Capital Markets: Income Statement")</f>
        <v>Audited Annual Financial Performance of Capital Markets: Income Statement</v>
      </c>
      <c r="D50" s="479"/>
      <c r="E50" s="480"/>
      <c r="F50" s="480"/>
      <c r="G50" s="480"/>
      <c r="H50" s="480"/>
      <c r="I50" s="480"/>
    </row>
    <row r="51" spans="1:9">
      <c r="A51" s="65">
        <v>5.04</v>
      </c>
      <c r="B51" s="114" t="str">
        <f>HYPERLINK("#5.04!A1","Enforcement Matters for Capital Markets Entities")</f>
        <v>Enforcement Matters for Capital Markets Entities</v>
      </c>
      <c r="D51" s="20"/>
    </row>
    <row r="52" spans="1:9">
      <c r="A52" s="65"/>
      <c r="B52" s="114"/>
      <c r="D52" s="20"/>
    </row>
    <row r="53" spans="1:9">
      <c r="A53" s="107">
        <v>5.1100000000000003</v>
      </c>
      <c r="B53" s="114" t="str">
        <f>HYPERLINK("#5.11!A1", "Securities Infrastructure Businesses (SIBs)")</f>
        <v>Securities Infrastructure Businesses (SIBs)</v>
      </c>
    </row>
    <row r="54" spans="1:9">
      <c r="A54" s="107">
        <v>5.12</v>
      </c>
      <c r="B54" s="114" t="str">
        <f>HYPERLINK("#5.12!A1", "Financial Performance of Asset Managers")</f>
        <v>Financial Performance of Asset Managers</v>
      </c>
    </row>
    <row r="55" spans="1:9">
      <c r="A55" s="107">
        <v>5.13</v>
      </c>
      <c r="B55" s="114" t="str">
        <f>HYPERLINK("#5.13!A1", "Financial Performance of Management Companies")</f>
        <v>Financial Performance of Management Companies</v>
      </c>
    </row>
    <row r="56" spans="1:9">
      <c r="A56" s="107">
        <v>5.14</v>
      </c>
      <c r="B56" s="114" t="str">
        <f>HYPERLINK("#5.14!A1", "Financial Performance of Investment Advisors")</f>
        <v>Financial Performance of Investment Advisors</v>
      </c>
    </row>
    <row r="57" spans="1:9">
      <c r="A57" s="107">
        <v>5.15</v>
      </c>
      <c r="B57" s="114" t="str">
        <f>HYPERLINK("#5.15!A1", "Financial Performance of Securities Dealers/Brokers")</f>
        <v>Financial Performance of Securities Dealers/Brokers</v>
      </c>
    </row>
    <row r="58" spans="1:9">
      <c r="A58" s="107">
        <v>5.16</v>
      </c>
      <c r="B58" s="114" t="str">
        <f>HYPERLINK("#5.16!A1", "Financial Performance of IFSCs")</f>
        <v>Financial Performance of IFSCs</v>
      </c>
    </row>
    <row r="59" spans="1:9">
      <c r="A59" s="107">
        <v>5.17</v>
      </c>
      <c r="B59" s="114" t="str">
        <f>HYPERLINK("#5.17!A1", "Financial Performance of Transfer Secretaries")</f>
        <v>Financial Performance of Transfer Secretaries</v>
      </c>
    </row>
    <row r="60" spans="1:9">
      <c r="A60" s="107">
        <v>5.18</v>
      </c>
      <c r="B60" s="114" t="str">
        <f>HYPERLINK("#5.18!A1", "Asset under Management by CIUs and Non-CIUs")</f>
        <v>Asset under Management by CIUs and Non-CIUs</v>
      </c>
    </row>
    <row r="61" spans="1:9" ht="14.5">
      <c r="A61" s="65"/>
      <c r="B61" s="119"/>
    </row>
    <row r="62" spans="1:9" ht="15">
      <c r="A62" s="62">
        <v>6</v>
      </c>
      <c r="B62" s="63" t="s">
        <v>12</v>
      </c>
      <c r="F62" s="53"/>
    </row>
    <row r="63" spans="1:9">
      <c r="A63" s="67">
        <v>6.01</v>
      </c>
      <c r="B63" s="114" t="str">
        <f>HYPERLINK("#6.01!A1", "The Number of Lending Activites Entities")</f>
        <v>The Number of Lending Activites Entities</v>
      </c>
    </row>
    <row r="64" spans="1:9">
      <c r="A64" s="67">
        <v>6.02</v>
      </c>
      <c r="B64" s="114" t="str">
        <f>HYPERLINK("#6.02!A1", "Financial Performance of Selected Micro Lenders")</f>
        <v>Financial Performance of Selected Micro Lenders</v>
      </c>
    </row>
    <row r="65" spans="1:2">
      <c r="A65" s="67">
        <v>6.03</v>
      </c>
      <c r="B65" s="114" t="str">
        <f>HYPERLINK("#6.03!A1", "Financial Position of Selected Micro Lenders")</f>
        <v>Financial Position of Selected Micro Lenders</v>
      </c>
    </row>
    <row r="66" spans="1:2">
      <c r="A66" s="67">
        <v>6.04</v>
      </c>
      <c r="B66" s="114" t="str">
        <f>HYPERLINK("#6.04!A1","Enforcement Matters for Lending Activities")</f>
        <v>Enforcement Matters for Lending Activities</v>
      </c>
    </row>
    <row r="67" spans="1:2">
      <c r="A67" s="67">
        <v>6.05</v>
      </c>
      <c r="B67" s="114" t="str">
        <f>HYPERLINK("#6.05!A1","Financial Performance of IFSCs")</f>
        <v>Financial Performance of IFSCs</v>
      </c>
    </row>
    <row r="68" spans="1:2">
      <c r="A68" s="67"/>
      <c r="B68" s="114"/>
    </row>
    <row r="69" spans="1:2">
      <c r="A69" s="42"/>
    </row>
    <row r="70" spans="1:2">
      <c r="A70" s="28" t="s">
        <v>259</v>
      </c>
      <c r="B70" s="114" t="str">
        <f>HYPERLINK("#NBFIRAContacts!A1", "NBFIRA Contacts")</f>
        <v>NBFIRA Contacts</v>
      </c>
    </row>
    <row r="71" spans="1:2">
      <c r="B71" s="114"/>
    </row>
  </sheetData>
  <mergeCells count="2">
    <mergeCell ref="G41:K41"/>
    <mergeCell ref="D50:I5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DCFC2-CDAC-477A-8D7A-EBB407CF96B3}">
  <dimension ref="A1:N14"/>
  <sheetViews>
    <sheetView showGridLines="0" workbookViewId="0">
      <selection activeCell="L1" sqref="L1"/>
    </sheetView>
  </sheetViews>
  <sheetFormatPr defaultColWidth="9.1796875" defaultRowHeight="14"/>
  <cols>
    <col min="1" max="1" width="17.7265625" style="19" bestFit="1" customWidth="1"/>
    <col min="2" max="6" width="9.1796875" style="19"/>
    <col min="7" max="7" width="6.26953125" style="19" customWidth="1"/>
    <col min="8" max="16384" width="9.1796875" style="19"/>
  </cols>
  <sheetData>
    <row r="1" spans="1:14" ht="14.5">
      <c r="A1" s="20" t="s">
        <v>120</v>
      </c>
      <c r="B1" s="479" t="s">
        <v>121</v>
      </c>
      <c r="C1" s="480"/>
      <c r="D1" s="480"/>
      <c r="E1" s="480"/>
      <c r="F1" s="480"/>
      <c r="G1" s="480"/>
      <c r="H1" s="486"/>
      <c r="I1" s="486"/>
      <c r="L1" s="27" t="str">
        <f>HYPERLINK("#Contents!A9","BACK TO CONTENTS")</f>
        <v>BACK TO CONTENTS</v>
      </c>
    </row>
    <row r="3" spans="1:14">
      <c r="A3" s="20" t="s">
        <v>56</v>
      </c>
    </row>
    <row r="4" spans="1:14" ht="14.25" customHeight="1" thickBot="1">
      <c r="A4" s="13" t="s">
        <v>23</v>
      </c>
      <c r="B4" s="5">
        <v>2013</v>
      </c>
      <c r="C4" s="5">
        <v>2014</v>
      </c>
      <c r="D4" s="5">
        <v>2015</v>
      </c>
      <c r="E4" s="5">
        <v>2016</v>
      </c>
      <c r="F4" s="5">
        <v>2017</v>
      </c>
      <c r="G4" s="5">
        <v>2018</v>
      </c>
      <c r="H4" s="5">
        <v>2019</v>
      </c>
      <c r="I4" s="5">
        <v>2020</v>
      </c>
      <c r="J4" s="5">
        <v>2021</v>
      </c>
      <c r="K4" s="6">
        <v>2022</v>
      </c>
      <c r="L4" s="6">
        <v>2023</v>
      </c>
    </row>
    <row r="5" spans="1:14" ht="14.25" customHeight="1" thickTop="1">
      <c r="A5" s="25" t="s">
        <v>122</v>
      </c>
      <c r="B5" s="241">
        <v>238</v>
      </c>
      <c r="C5" s="241">
        <v>221</v>
      </c>
      <c r="D5" s="241">
        <v>237</v>
      </c>
      <c r="E5" s="241">
        <v>232</v>
      </c>
      <c r="F5" s="241">
        <v>258</v>
      </c>
      <c r="G5" s="241">
        <v>304</v>
      </c>
      <c r="H5" s="241">
        <v>361</v>
      </c>
      <c r="I5" s="241">
        <v>410</v>
      </c>
      <c r="J5" s="241">
        <v>337</v>
      </c>
      <c r="K5" s="242">
        <v>378</v>
      </c>
      <c r="L5" s="242">
        <v>386</v>
      </c>
    </row>
    <row r="6" spans="1:14" ht="14.25" customHeight="1">
      <c r="A6" s="12" t="s">
        <v>123</v>
      </c>
      <c r="B6" s="241">
        <v>104</v>
      </c>
      <c r="C6" s="241">
        <v>125</v>
      </c>
      <c r="D6" s="241">
        <v>102</v>
      </c>
      <c r="E6" s="241">
        <v>152</v>
      </c>
      <c r="F6" s="241">
        <v>107</v>
      </c>
      <c r="G6" s="241">
        <v>77</v>
      </c>
      <c r="H6" s="241">
        <v>77</v>
      </c>
      <c r="I6" s="241">
        <v>87</v>
      </c>
      <c r="J6" s="241">
        <v>154</v>
      </c>
      <c r="K6" s="242">
        <v>131</v>
      </c>
      <c r="L6" s="242">
        <v>134</v>
      </c>
    </row>
    <row r="7" spans="1:14" ht="14.25" customHeight="1">
      <c r="A7" s="30" t="s">
        <v>64</v>
      </c>
      <c r="B7" s="243">
        <f>B5+B6</f>
        <v>342</v>
      </c>
      <c r="C7" s="243">
        <f>C5+C6</f>
        <v>346</v>
      </c>
      <c r="D7" s="243">
        <f>D5+D6</f>
        <v>339</v>
      </c>
      <c r="E7" s="243">
        <f>E5+E6</f>
        <v>384</v>
      </c>
      <c r="F7" s="243">
        <f t="shared" ref="F7:L7" si="0">F5+F6</f>
        <v>365</v>
      </c>
      <c r="G7" s="243">
        <f t="shared" si="0"/>
        <v>381</v>
      </c>
      <c r="H7" s="243">
        <f t="shared" si="0"/>
        <v>438</v>
      </c>
      <c r="I7" s="243">
        <f t="shared" si="0"/>
        <v>497</v>
      </c>
      <c r="J7" s="243">
        <f t="shared" si="0"/>
        <v>491</v>
      </c>
      <c r="K7" s="244">
        <f t="shared" si="0"/>
        <v>509</v>
      </c>
      <c r="L7" s="244">
        <f t="shared" si="0"/>
        <v>520</v>
      </c>
    </row>
    <row r="8" spans="1:14" ht="14.25" customHeight="1">
      <c r="A8" s="25" t="s">
        <v>124</v>
      </c>
      <c r="B8" s="241">
        <v>170</v>
      </c>
      <c r="C8" s="241">
        <v>210</v>
      </c>
      <c r="D8" s="241">
        <v>222</v>
      </c>
      <c r="E8" s="241">
        <v>260</v>
      </c>
      <c r="F8" s="241">
        <v>267</v>
      </c>
      <c r="G8" s="241">
        <v>308</v>
      </c>
      <c r="H8" s="241">
        <v>338</v>
      </c>
      <c r="I8" s="241">
        <v>394</v>
      </c>
      <c r="J8" s="241">
        <v>369</v>
      </c>
      <c r="K8" s="242">
        <v>369</v>
      </c>
      <c r="L8" s="242">
        <v>393</v>
      </c>
    </row>
    <row r="9" spans="1:14" ht="14.25" customHeight="1">
      <c r="A9" s="25" t="s">
        <v>125</v>
      </c>
      <c r="B9" s="241">
        <v>53</v>
      </c>
      <c r="C9" s="241">
        <v>16</v>
      </c>
      <c r="D9" s="241">
        <v>5</v>
      </c>
      <c r="E9" s="241">
        <v>4</v>
      </c>
      <c r="F9" s="241">
        <v>24</v>
      </c>
      <c r="G9" s="241">
        <v>15</v>
      </c>
      <c r="H9" s="241">
        <v>26</v>
      </c>
      <c r="I9" s="241">
        <v>10</v>
      </c>
      <c r="J9" s="241">
        <v>18</v>
      </c>
      <c r="K9" s="242">
        <v>28</v>
      </c>
      <c r="L9" s="242">
        <v>42</v>
      </c>
    </row>
    <row r="10" spans="1:14" ht="14.25" customHeight="1">
      <c r="A10" s="25" t="s">
        <v>126</v>
      </c>
      <c r="B10" s="241">
        <v>24</v>
      </c>
      <c r="C10" s="241">
        <v>0</v>
      </c>
      <c r="D10" s="241">
        <v>10</v>
      </c>
      <c r="E10" s="241">
        <v>0</v>
      </c>
      <c r="F10" s="241">
        <v>13</v>
      </c>
      <c r="G10" s="241">
        <v>415</v>
      </c>
      <c r="H10" s="241">
        <v>2</v>
      </c>
      <c r="I10" s="241">
        <v>1</v>
      </c>
      <c r="J10" s="241">
        <v>0</v>
      </c>
      <c r="K10" s="242">
        <v>0</v>
      </c>
      <c r="L10" s="242">
        <v>0</v>
      </c>
    </row>
    <row r="11" spans="1:14" ht="14.25" customHeight="1">
      <c r="A11" s="30" t="s">
        <v>127</v>
      </c>
      <c r="B11" s="243">
        <f>SUM(B8:B10)</f>
        <v>247</v>
      </c>
      <c r="C11" s="243">
        <f>SUM(C8:C10)</f>
        <v>226</v>
      </c>
      <c r="D11" s="243">
        <f>SUM(D8:D10)</f>
        <v>237</v>
      </c>
      <c r="E11" s="243">
        <f>SUM(E8:E10)</f>
        <v>264</v>
      </c>
      <c r="F11" s="243">
        <f t="shared" ref="F11:L11" si="1">SUM(F8:F10)</f>
        <v>304</v>
      </c>
      <c r="G11" s="243">
        <f t="shared" si="1"/>
        <v>738</v>
      </c>
      <c r="H11" s="243">
        <f t="shared" si="1"/>
        <v>366</v>
      </c>
      <c r="I11" s="243">
        <f t="shared" si="1"/>
        <v>405</v>
      </c>
      <c r="J11" s="243">
        <f t="shared" si="1"/>
        <v>387</v>
      </c>
      <c r="K11" s="244">
        <f t="shared" si="1"/>
        <v>397</v>
      </c>
      <c r="L11" s="244">
        <f t="shared" si="1"/>
        <v>435</v>
      </c>
    </row>
    <row r="12" spans="1:14" s="20" customFormat="1" ht="17.25" customHeight="1">
      <c r="A12" s="43" t="s">
        <v>128</v>
      </c>
      <c r="B12" s="328">
        <v>94</v>
      </c>
      <c r="C12" s="328">
        <v>119</v>
      </c>
      <c r="D12" s="328">
        <v>101</v>
      </c>
      <c r="E12" s="328">
        <v>119</v>
      </c>
      <c r="F12" s="328">
        <v>61</v>
      </c>
      <c r="G12" s="328">
        <v>58</v>
      </c>
      <c r="H12" s="328">
        <v>74</v>
      </c>
      <c r="I12" s="328">
        <v>91</v>
      </c>
      <c r="J12" s="328">
        <v>104</v>
      </c>
      <c r="K12" s="329">
        <v>111</v>
      </c>
      <c r="L12" s="329">
        <v>85</v>
      </c>
      <c r="N12" s="19"/>
    </row>
    <row r="13" spans="1:14" ht="14.25" customHeight="1">
      <c r="A13" s="25" t="s">
        <v>75</v>
      </c>
      <c r="B13" s="241">
        <v>21</v>
      </c>
      <c r="C13" s="241">
        <v>23</v>
      </c>
      <c r="D13" s="241">
        <v>22</v>
      </c>
      <c r="E13" s="241">
        <v>27</v>
      </c>
      <c r="F13" s="241">
        <v>17</v>
      </c>
      <c r="G13" s="241">
        <v>15</v>
      </c>
      <c r="H13" s="241">
        <v>22</v>
      </c>
      <c r="I13" s="241">
        <v>24</v>
      </c>
      <c r="J13" s="241">
        <v>25</v>
      </c>
      <c r="K13" s="242">
        <v>27</v>
      </c>
      <c r="L13" s="242">
        <v>19</v>
      </c>
    </row>
    <row r="14" spans="1:14" s="20" customFormat="1" ht="14.25" customHeight="1">
      <c r="A14" s="330" t="s">
        <v>129</v>
      </c>
      <c r="B14" s="331">
        <v>74</v>
      </c>
      <c r="C14" s="331">
        <v>96</v>
      </c>
      <c r="D14" s="331">
        <v>79</v>
      </c>
      <c r="E14" s="331">
        <v>92</v>
      </c>
      <c r="F14" s="331">
        <v>44</v>
      </c>
      <c r="G14" s="331">
        <v>43</v>
      </c>
      <c r="H14" s="331">
        <v>52</v>
      </c>
      <c r="I14" s="331">
        <v>68</v>
      </c>
      <c r="J14" s="331">
        <v>78</v>
      </c>
      <c r="K14" s="332">
        <v>84</v>
      </c>
      <c r="L14" s="332">
        <v>66</v>
      </c>
      <c r="N14" s="19"/>
    </row>
  </sheetData>
  <protectedRanges>
    <protectedRange sqref="A5:K6 A8:K10 A12:K14" name="Range1"/>
  </protectedRanges>
  <mergeCells count="1">
    <mergeCell ref="B1:I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2B931-F1A0-4F8A-A96C-43F4049DF76F}">
  <dimension ref="A1:L18"/>
  <sheetViews>
    <sheetView showGridLines="0" workbookViewId="0">
      <selection activeCell="F20" sqref="F20"/>
    </sheetView>
  </sheetViews>
  <sheetFormatPr defaultColWidth="9.1796875" defaultRowHeight="14"/>
  <cols>
    <col min="1" max="1" width="27.26953125" style="19" customWidth="1"/>
    <col min="2" max="5" width="9.1796875" style="19"/>
    <col min="6" max="6" width="9.81640625" style="19" bestFit="1" customWidth="1"/>
    <col min="7" max="16384" width="9.1796875" style="19"/>
  </cols>
  <sheetData>
    <row r="1" spans="1:12" ht="14.5">
      <c r="A1" s="20" t="s">
        <v>130</v>
      </c>
      <c r="B1" s="479" t="s">
        <v>131</v>
      </c>
      <c r="C1" s="480"/>
      <c r="D1" s="480"/>
      <c r="E1" s="480"/>
      <c r="F1" s="480"/>
      <c r="G1" s="480"/>
      <c r="I1" s="27" t="str">
        <f>HYPERLINK("#Contents!A9","BACK TO CONTENTS")</f>
        <v>BACK TO CONTENTS</v>
      </c>
    </row>
    <row r="3" spans="1:12">
      <c r="A3" s="20" t="s">
        <v>56</v>
      </c>
    </row>
    <row r="4" spans="1:12" ht="14.25" customHeight="1" thickBot="1">
      <c r="A4" s="88" t="s">
        <v>443</v>
      </c>
      <c r="B4" s="79">
        <v>2013</v>
      </c>
      <c r="C4" s="79">
        <v>2014</v>
      </c>
      <c r="D4" s="79">
        <v>2015</v>
      </c>
      <c r="E4" s="79">
        <v>2016</v>
      </c>
      <c r="F4" s="89">
        <v>2017</v>
      </c>
      <c r="G4" s="89">
        <v>2018</v>
      </c>
      <c r="H4" s="89">
        <v>2019</v>
      </c>
      <c r="I4" s="89">
        <v>2020</v>
      </c>
      <c r="J4" s="89">
        <v>2021</v>
      </c>
      <c r="K4" s="90">
        <v>2022</v>
      </c>
      <c r="L4" s="90">
        <v>2023</v>
      </c>
    </row>
    <row r="5" spans="1:12" ht="14.25" customHeight="1" thickTop="1">
      <c r="A5" s="92" t="s">
        <v>132</v>
      </c>
      <c r="B5" s="241">
        <v>447</v>
      </c>
      <c r="C5" s="241">
        <v>301</v>
      </c>
      <c r="D5" s="241">
        <v>294</v>
      </c>
      <c r="E5" s="241">
        <v>295</v>
      </c>
      <c r="F5" s="241">
        <v>251</v>
      </c>
      <c r="G5" s="241">
        <v>298</v>
      </c>
      <c r="H5" s="241">
        <v>350</v>
      </c>
      <c r="I5" s="241">
        <v>326</v>
      </c>
      <c r="J5" s="241">
        <v>344</v>
      </c>
      <c r="K5" s="245">
        <v>359</v>
      </c>
      <c r="L5" s="444"/>
    </row>
    <row r="6" spans="1:12" ht="14.25" customHeight="1">
      <c r="A6" s="92" t="s">
        <v>133</v>
      </c>
      <c r="B6" s="241">
        <v>4</v>
      </c>
      <c r="C6" s="241">
        <v>21</v>
      </c>
      <c r="D6" s="241">
        <v>27</v>
      </c>
      <c r="E6" s="241">
        <v>14</v>
      </c>
      <c r="F6" s="241">
        <v>50</v>
      </c>
      <c r="G6" s="241">
        <v>22</v>
      </c>
      <c r="H6" s="241">
        <v>16</v>
      </c>
      <c r="I6" s="241">
        <v>24</v>
      </c>
      <c r="J6" s="241">
        <v>48</v>
      </c>
      <c r="K6" s="245">
        <v>70</v>
      </c>
      <c r="L6" s="444"/>
    </row>
    <row r="7" spans="1:12" ht="14.25" customHeight="1">
      <c r="A7" s="92" t="s">
        <v>134</v>
      </c>
      <c r="B7" s="241">
        <v>59</v>
      </c>
      <c r="C7" s="241">
        <v>52</v>
      </c>
      <c r="D7" s="241">
        <v>70</v>
      </c>
      <c r="E7" s="241">
        <v>84</v>
      </c>
      <c r="F7" s="241">
        <v>88</v>
      </c>
      <c r="G7" s="241">
        <v>94</v>
      </c>
      <c r="H7" s="241">
        <v>100</v>
      </c>
      <c r="I7" s="241">
        <v>113</v>
      </c>
      <c r="J7" s="241">
        <v>119</v>
      </c>
      <c r="K7" s="245">
        <v>125</v>
      </c>
      <c r="L7" s="444"/>
    </row>
    <row r="8" spans="1:12" ht="14.25" customHeight="1">
      <c r="A8" s="85" t="s">
        <v>82</v>
      </c>
      <c r="B8" s="243">
        <f t="shared" ref="B8:K8" si="0">SUM(B5:B7)</f>
        <v>510</v>
      </c>
      <c r="C8" s="243">
        <f t="shared" si="0"/>
        <v>374</v>
      </c>
      <c r="D8" s="243">
        <f t="shared" si="0"/>
        <v>391</v>
      </c>
      <c r="E8" s="243">
        <f t="shared" si="0"/>
        <v>393</v>
      </c>
      <c r="F8" s="243">
        <f t="shared" si="0"/>
        <v>389</v>
      </c>
      <c r="G8" s="243">
        <f t="shared" si="0"/>
        <v>414</v>
      </c>
      <c r="H8" s="243">
        <f t="shared" si="0"/>
        <v>466</v>
      </c>
      <c r="I8" s="243">
        <f t="shared" si="0"/>
        <v>463</v>
      </c>
      <c r="J8" s="243">
        <f t="shared" si="0"/>
        <v>511</v>
      </c>
      <c r="K8" s="246">
        <f t="shared" si="0"/>
        <v>554</v>
      </c>
      <c r="L8" s="246">
        <v>655</v>
      </c>
    </row>
    <row r="9" spans="1:12" ht="14.25" customHeight="1">
      <c r="A9" s="92" t="s">
        <v>135</v>
      </c>
      <c r="B9" s="241">
        <v>320</v>
      </c>
      <c r="C9" s="241">
        <v>181</v>
      </c>
      <c r="D9" s="241">
        <v>149</v>
      </c>
      <c r="E9" s="241">
        <v>158</v>
      </c>
      <c r="F9" s="241">
        <v>151</v>
      </c>
      <c r="G9" s="241">
        <v>192</v>
      </c>
      <c r="H9" s="241">
        <v>209</v>
      </c>
      <c r="I9" s="241">
        <v>181</v>
      </c>
      <c r="J9" s="241">
        <v>136</v>
      </c>
      <c r="K9" s="245">
        <v>129</v>
      </c>
      <c r="L9" s="444"/>
    </row>
    <row r="10" spans="1:12" ht="14.25" customHeight="1">
      <c r="A10" s="103" t="s">
        <v>136</v>
      </c>
      <c r="B10" s="241">
        <v>16</v>
      </c>
      <c r="C10" s="241">
        <v>8</v>
      </c>
      <c r="D10" s="241">
        <v>15</v>
      </c>
      <c r="E10" s="241">
        <v>10</v>
      </c>
      <c r="F10" s="241">
        <v>16</v>
      </c>
      <c r="G10" s="241">
        <v>15</v>
      </c>
      <c r="H10" s="241">
        <v>13</v>
      </c>
      <c r="I10" s="241">
        <v>6</v>
      </c>
      <c r="J10" s="241">
        <v>13</v>
      </c>
      <c r="K10" s="245">
        <v>16</v>
      </c>
      <c r="L10" s="444"/>
    </row>
    <row r="11" spans="1:12" ht="14.25" customHeight="1">
      <c r="A11" s="92" t="s">
        <v>137</v>
      </c>
      <c r="B11" s="241">
        <v>35</v>
      </c>
      <c r="C11" s="241">
        <v>29</v>
      </c>
      <c r="D11" s="241">
        <v>50</v>
      </c>
      <c r="E11" s="241">
        <v>41</v>
      </c>
      <c r="F11" s="241">
        <v>65</v>
      </c>
      <c r="G11" s="241">
        <v>45</v>
      </c>
      <c r="H11" s="241">
        <v>59</v>
      </c>
      <c r="I11" s="241">
        <v>63</v>
      </c>
      <c r="J11" s="241">
        <v>119</v>
      </c>
      <c r="K11" s="245">
        <v>135</v>
      </c>
      <c r="L11" s="444"/>
    </row>
    <row r="12" spans="1:12" ht="14.25" customHeight="1">
      <c r="A12" s="85" t="s">
        <v>86</v>
      </c>
      <c r="B12" s="243">
        <f t="shared" ref="B12:K12" si="1">SUM(B9:B11)</f>
        <v>371</v>
      </c>
      <c r="C12" s="243">
        <f t="shared" si="1"/>
        <v>218</v>
      </c>
      <c r="D12" s="243">
        <f t="shared" si="1"/>
        <v>214</v>
      </c>
      <c r="E12" s="243">
        <f t="shared" si="1"/>
        <v>209</v>
      </c>
      <c r="F12" s="243">
        <f t="shared" si="1"/>
        <v>232</v>
      </c>
      <c r="G12" s="243">
        <f t="shared" si="1"/>
        <v>252</v>
      </c>
      <c r="H12" s="243">
        <f t="shared" si="1"/>
        <v>281</v>
      </c>
      <c r="I12" s="243">
        <f t="shared" si="1"/>
        <v>250</v>
      </c>
      <c r="J12" s="243">
        <f t="shared" si="1"/>
        <v>268</v>
      </c>
      <c r="K12" s="246">
        <f t="shared" si="1"/>
        <v>280</v>
      </c>
      <c r="L12" s="246">
        <v>352</v>
      </c>
    </row>
    <row r="13" spans="1:12" ht="14.25" customHeight="1">
      <c r="A13" s="92" t="s">
        <v>138</v>
      </c>
      <c r="B13" s="241">
        <v>26</v>
      </c>
      <c r="C13" s="241">
        <v>29</v>
      </c>
      <c r="D13" s="241">
        <v>42</v>
      </c>
      <c r="E13" s="241">
        <v>26</v>
      </c>
      <c r="F13" s="241">
        <v>29</v>
      </c>
      <c r="G13" s="241">
        <v>38</v>
      </c>
      <c r="H13" s="241">
        <v>42</v>
      </c>
      <c r="I13" s="241">
        <v>53</v>
      </c>
      <c r="J13" s="241">
        <v>58</v>
      </c>
      <c r="K13" s="245">
        <v>58</v>
      </c>
      <c r="L13" s="444"/>
    </row>
    <row r="14" spans="1:12" ht="14.25" customHeight="1">
      <c r="A14" s="92" t="s">
        <v>139</v>
      </c>
      <c r="B14" s="241">
        <v>113</v>
      </c>
      <c r="C14" s="241">
        <v>126</v>
      </c>
      <c r="D14" s="241">
        <v>134</v>
      </c>
      <c r="E14" s="241">
        <v>157</v>
      </c>
      <c r="F14" s="241">
        <v>127</v>
      </c>
      <c r="G14" s="241">
        <v>124</v>
      </c>
      <c r="H14" s="241">
        <v>147</v>
      </c>
      <c r="I14" s="241">
        <v>160</v>
      </c>
      <c r="J14" s="241">
        <v>185</v>
      </c>
      <c r="K14" s="245">
        <v>216</v>
      </c>
      <c r="L14" s="444"/>
    </row>
    <row r="15" spans="1:12" ht="14.25" customHeight="1">
      <c r="A15" s="85" t="s">
        <v>140</v>
      </c>
      <c r="B15" s="243">
        <f t="shared" ref="B15:K15" si="2">SUM(B13:B14)</f>
        <v>139</v>
      </c>
      <c r="C15" s="243">
        <f t="shared" si="2"/>
        <v>155</v>
      </c>
      <c r="D15" s="243">
        <f t="shared" si="2"/>
        <v>176</v>
      </c>
      <c r="E15" s="243">
        <f t="shared" si="2"/>
        <v>183</v>
      </c>
      <c r="F15" s="243">
        <f t="shared" si="2"/>
        <v>156</v>
      </c>
      <c r="G15" s="243">
        <f t="shared" si="2"/>
        <v>162</v>
      </c>
      <c r="H15" s="243">
        <f t="shared" si="2"/>
        <v>189</v>
      </c>
      <c r="I15" s="243">
        <f t="shared" si="2"/>
        <v>213</v>
      </c>
      <c r="J15" s="243">
        <f t="shared" si="2"/>
        <v>243</v>
      </c>
      <c r="K15" s="246">
        <f t="shared" si="2"/>
        <v>274</v>
      </c>
      <c r="L15" s="246">
        <v>303</v>
      </c>
    </row>
    <row r="16" spans="1:12" ht="14.25" customHeight="1">
      <c r="A16" s="100" t="s">
        <v>141</v>
      </c>
      <c r="B16" s="247">
        <f>B12+B15</f>
        <v>510</v>
      </c>
      <c r="C16" s="247">
        <f>C12+C15</f>
        <v>373</v>
      </c>
      <c r="D16" s="247">
        <f>D12+D15</f>
        <v>390</v>
      </c>
      <c r="E16" s="247">
        <f>E12+E15</f>
        <v>392</v>
      </c>
      <c r="F16" s="247">
        <f>F12+F15</f>
        <v>388</v>
      </c>
      <c r="G16" s="247">
        <f t="shared" ref="G16:L16" si="3">G12+G15</f>
        <v>414</v>
      </c>
      <c r="H16" s="247">
        <f t="shared" si="3"/>
        <v>470</v>
      </c>
      <c r="I16" s="247">
        <f t="shared" si="3"/>
        <v>463</v>
      </c>
      <c r="J16" s="247">
        <f t="shared" si="3"/>
        <v>511</v>
      </c>
      <c r="K16" s="248">
        <f t="shared" si="3"/>
        <v>554</v>
      </c>
      <c r="L16" s="248">
        <f t="shared" si="3"/>
        <v>655</v>
      </c>
    </row>
    <row r="18" spans="1:2">
      <c r="A18" s="34" t="s">
        <v>336</v>
      </c>
      <c r="B18" s="34" t="s">
        <v>442</v>
      </c>
    </row>
  </sheetData>
  <protectedRanges>
    <protectedRange sqref="A5:K7 A9:K11 A13:K14" name="Range1"/>
  </protectedRanges>
  <mergeCells count="1">
    <mergeCell ref="B1:G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F3AC8-8F02-4CE8-B822-428962F829E0}">
  <dimension ref="A1:L13"/>
  <sheetViews>
    <sheetView showGridLines="0" workbookViewId="0">
      <selection activeCell="F18" sqref="F18"/>
    </sheetView>
  </sheetViews>
  <sheetFormatPr defaultColWidth="9.1796875" defaultRowHeight="14"/>
  <cols>
    <col min="1" max="1" width="17.7265625" style="19" bestFit="1" customWidth="1"/>
    <col min="2" max="5" width="9.1796875" style="19"/>
    <col min="6" max="6" width="11.26953125" style="19" bestFit="1" customWidth="1"/>
    <col min="7" max="16384" width="9.1796875" style="19"/>
  </cols>
  <sheetData>
    <row r="1" spans="1:12" ht="37.5" customHeight="1">
      <c r="A1" s="20" t="s">
        <v>142</v>
      </c>
      <c r="B1" s="487" t="s">
        <v>143</v>
      </c>
      <c r="C1" s="495"/>
      <c r="D1" s="495"/>
      <c r="E1" s="495"/>
      <c r="F1" s="495"/>
      <c r="I1" s="27" t="str">
        <f>HYPERLINK("#Contents!A9","BACK TO CONTENTS")</f>
        <v>BACK TO CONTENTS</v>
      </c>
    </row>
    <row r="3" spans="1:12">
      <c r="A3" s="20" t="s">
        <v>56</v>
      </c>
    </row>
    <row r="4" spans="1:12" ht="14.25" customHeight="1" thickBot="1">
      <c r="A4" s="13" t="s">
        <v>443</v>
      </c>
      <c r="B4" s="5">
        <v>2013</v>
      </c>
      <c r="C4" s="5">
        <v>2014</v>
      </c>
      <c r="D4" s="5">
        <v>2015</v>
      </c>
      <c r="E4" s="5">
        <v>2016</v>
      </c>
      <c r="F4" s="14">
        <v>2017</v>
      </c>
      <c r="G4" s="14">
        <v>2018</v>
      </c>
      <c r="H4" s="14">
        <v>2019</v>
      </c>
      <c r="I4" s="14">
        <v>2020</v>
      </c>
      <c r="J4" s="14">
        <v>2021</v>
      </c>
      <c r="K4" s="18">
        <v>2022</v>
      </c>
      <c r="L4" s="18">
        <v>2023</v>
      </c>
    </row>
    <row r="5" spans="1:12" ht="14.25" customHeight="1" thickTop="1">
      <c r="A5" s="25" t="s">
        <v>144</v>
      </c>
      <c r="B5" s="462"/>
      <c r="C5" s="462"/>
      <c r="D5" s="462"/>
      <c r="E5" s="462"/>
      <c r="F5" s="213">
        <v>1657</v>
      </c>
      <c r="G5" s="213">
        <v>1722</v>
      </c>
      <c r="H5" s="213">
        <v>1836</v>
      </c>
      <c r="I5" s="213">
        <v>2038</v>
      </c>
      <c r="J5" s="213">
        <v>2127</v>
      </c>
      <c r="K5" s="214">
        <v>2266</v>
      </c>
      <c r="L5" s="214">
        <v>1639</v>
      </c>
    </row>
    <row r="6" spans="1:12" ht="14.25" customHeight="1">
      <c r="A6" s="25" t="s">
        <v>145</v>
      </c>
      <c r="B6" s="462"/>
      <c r="C6" s="462"/>
      <c r="D6" s="462"/>
      <c r="E6" s="462"/>
      <c r="F6" s="213">
        <v>1360</v>
      </c>
      <c r="G6" s="213">
        <v>1441</v>
      </c>
      <c r="H6" s="213">
        <v>1583</v>
      </c>
      <c r="I6" s="213">
        <v>1588</v>
      </c>
      <c r="J6" s="213">
        <v>1914</v>
      </c>
      <c r="K6" s="214">
        <v>2161</v>
      </c>
      <c r="L6" s="214">
        <v>1581</v>
      </c>
    </row>
    <row r="7" spans="1:12" ht="14.25" customHeight="1">
      <c r="A7" s="25" t="s">
        <v>146</v>
      </c>
      <c r="B7" s="462"/>
      <c r="C7" s="462"/>
      <c r="D7" s="462"/>
      <c r="E7" s="462"/>
      <c r="F7" s="213">
        <v>208</v>
      </c>
      <c r="G7" s="213">
        <v>212</v>
      </c>
      <c r="H7" s="213">
        <v>132</v>
      </c>
      <c r="I7" s="213">
        <v>251</v>
      </c>
      <c r="J7" s="213">
        <v>278</v>
      </c>
      <c r="K7" s="214">
        <v>324</v>
      </c>
      <c r="L7" s="214">
        <v>197</v>
      </c>
    </row>
    <row r="8" spans="1:12" s="20" customFormat="1" ht="14.25" customHeight="1">
      <c r="A8" s="333" t="s">
        <v>147</v>
      </c>
      <c r="B8" s="463"/>
      <c r="C8" s="463"/>
      <c r="D8" s="463"/>
      <c r="E8" s="463"/>
      <c r="F8" s="334">
        <v>122</v>
      </c>
      <c r="G8" s="334">
        <v>107</v>
      </c>
      <c r="H8" s="334">
        <v>67</v>
      </c>
      <c r="I8" s="334">
        <v>245</v>
      </c>
      <c r="J8" s="335">
        <v>-18</v>
      </c>
      <c r="K8" s="336">
        <v>-101</v>
      </c>
      <c r="L8" s="336">
        <v>-55</v>
      </c>
    </row>
    <row r="9" spans="1:12" ht="14.25" customHeight="1">
      <c r="A9" s="25" t="s">
        <v>90</v>
      </c>
      <c r="B9" s="462"/>
      <c r="C9" s="462"/>
      <c r="D9" s="462"/>
      <c r="E9" s="462"/>
      <c r="F9" s="213">
        <v>723</v>
      </c>
      <c r="G9" s="213">
        <v>822</v>
      </c>
      <c r="H9" s="213">
        <v>908</v>
      </c>
      <c r="I9" s="213">
        <v>1149</v>
      </c>
      <c r="J9" s="213">
        <v>1144</v>
      </c>
      <c r="K9" s="214">
        <v>1129</v>
      </c>
      <c r="L9" s="214">
        <v>791</v>
      </c>
    </row>
    <row r="10" spans="1:12" ht="14.25" customHeight="1">
      <c r="A10" s="25" t="s">
        <v>86</v>
      </c>
      <c r="B10" s="213"/>
      <c r="C10" s="213"/>
      <c r="D10" s="213">
        <v>249</v>
      </c>
      <c r="E10" s="213">
        <v>272</v>
      </c>
      <c r="F10" s="213">
        <v>220</v>
      </c>
      <c r="G10" s="213">
        <v>243</v>
      </c>
      <c r="H10" s="213">
        <v>221</v>
      </c>
      <c r="I10" s="213">
        <v>272</v>
      </c>
      <c r="J10" s="213">
        <v>340</v>
      </c>
      <c r="K10" s="214">
        <v>375</v>
      </c>
      <c r="L10" s="214">
        <v>249</v>
      </c>
    </row>
    <row r="11" spans="1:12" s="20" customFormat="1" ht="14.25" customHeight="1">
      <c r="A11" s="337" t="s">
        <v>82</v>
      </c>
      <c r="B11" s="338"/>
      <c r="C11" s="338">
        <v>838</v>
      </c>
      <c r="D11" s="338">
        <v>784</v>
      </c>
      <c r="E11" s="338">
        <v>875</v>
      </c>
      <c r="F11" s="338">
        <v>943</v>
      </c>
      <c r="G11" s="338">
        <v>1065</v>
      </c>
      <c r="H11" s="338">
        <v>1129</v>
      </c>
      <c r="I11" s="338">
        <v>1421</v>
      </c>
      <c r="J11" s="338">
        <v>1484</v>
      </c>
      <c r="K11" s="339">
        <v>1504</v>
      </c>
      <c r="L11" s="339">
        <v>1040</v>
      </c>
    </row>
    <row r="13" spans="1:12">
      <c r="A13" s="180" t="s">
        <v>336</v>
      </c>
      <c r="B13" s="181" t="s">
        <v>442</v>
      </c>
    </row>
  </sheetData>
  <mergeCells count="1">
    <mergeCell ref="B1:F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0CFA2-8E73-4C69-9164-9AA6332156CD}">
  <dimension ref="A1:N23"/>
  <sheetViews>
    <sheetView showGridLines="0" workbookViewId="0">
      <selection activeCell="D25" sqref="D25"/>
    </sheetView>
  </sheetViews>
  <sheetFormatPr defaultRowHeight="14.5"/>
  <cols>
    <col min="1" max="1" width="27.26953125" bestFit="1" customWidth="1"/>
    <col min="7" max="7" width="11" bestFit="1" customWidth="1"/>
  </cols>
  <sheetData>
    <row r="1" spans="1:14" ht="15" customHeight="1">
      <c r="A1" s="20" t="s">
        <v>148</v>
      </c>
      <c r="B1" s="496" t="s">
        <v>143</v>
      </c>
      <c r="C1" s="496"/>
      <c r="D1" s="496"/>
      <c r="E1" s="496"/>
      <c r="F1" s="496"/>
      <c r="G1" s="496"/>
      <c r="H1" s="19"/>
      <c r="I1" s="27" t="str">
        <f>HYPERLINK("#Contents!A9","BACK TO CONTENTS")</f>
        <v>BACK TO CONTENTS</v>
      </c>
    </row>
    <row r="3" spans="1:14">
      <c r="A3" s="20" t="s">
        <v>56</v>
      </c>
      <c r="B3" s="19"/>
      <c r="C3" s="19"/>
      <c r="D3" s="19"/>
      <c r="E3" s="19"/>
      <c r="F3" s="19"/>
      <c r="G3" s="19"/>
    </row>
    <row r="4" spans="1:14" ht="14.25" customHeight="1" thickBot="1">
      <c r="A4" s="13" t="s">
        <v>443</v>
      </c>
      <c r="B4" s="5">
        <v>2013</v>
      </c>
      <c r="C4" s="5">
        <v>2014</v>
      </c>
      <c r="D4" s="5">
        <v>2015</v>
      </c>
      <c r="E4" s="5">
        <v>2016</v>
      </c>
      <c r="F4" s="14">
        <v>2017</v>
      </c>
      <c r="G4" s="14">
        <v>2018</v>
      </c>
      <c r="H4" s="14">
        <v>2019</v>
      </c>
      <c r="I4" s="14">
        <v>2020</v>
      </c>
      <c r="J4" s="14">
        <v>2021</v>
      </c>
      <c r="K4" s="18">
        <v>2022</v>
      </c>
      <c r="L4" s="18">
        <v>2023</v>
      </c>
    </row>
    <row r="5" spans="1:14" ht="14.25" customHeight="1" thickTop="1">
      <c r="A5" s="72" t="s">
        <v>149</v>
      </c>
      <c r="B5" s="446"/>
      <c r="C5" s="446"/>
      <c r="D5" s="446"/>
      <c r="E5" s="446"/>
      <c r="F5" s="250">
        <v>1657</v>
      </c>
      <c r="G5" s="250">
        <v>1722</v>
      </c>
      <c r="H5" s="250">
        <v>1836</v>
      </c>
      <c r="I5" s="250">
        <v>2038</v>
      </c>
      <c r="J5" s="250">
        <v>2127</v>
      </c>
      <c r="K5" s="251">
        <v>2265</v>
      </c>
      <c r="L5" s="251">
        <v>1639</v>
      </c>
    </row>
    <row r="6" spans="1:14" ht="14.25" customHeight="1">
      <c r="A6" s="72" t="s">
        <v>150</v>
      </c>
      <c r="B6" s="446"/>
      <c r="C6" s="446"/>
      <c r="D6" s="446"/>
      <c r="E6" s="446"/>
      <c r="F6" s="250">
        <v>1360</v>
      </c>
      <c r="G6" s="250">
        <v>1441</v>
      </c>
      <c r="H6" s="250">
        <v>1583</v>
      </c>
      <c r="I6" s="250">
        <v>1588</v>
      </c>
      <c r="J6" s="250">
        <v>1914</v>
      </c>
      <c r="K6" s="251">
        <v>2161</v>
      </c>
      <c r="L6" s="251">
        <v>1581</v>
      </c>
    </row>
    <row r="7" spans="1:14" s="26" customFormat="1" ht="14.25" customHeight="1">
      <c r="A7" s="73" t="s">
        <v>151</v>
      </c>
      <c r="B7" s="445"/>
      <c r="C7" s="445"/>
      <c r="D7" s="445"/>
      <c r="E7" s="445"/>
      <c r="F7" s="445"/>
      <c r="G7" s="342">
        <v>282</v>
      </c>
      <c r="H7" s="445"/>
      <c r="I7" s="445"/>
      <c r="J7" s="342">
        <v>213</v>
      </c>
      <c r="K7" s="419">
        <v>104</v>
      </c>
      <c r="L7" s="343">
        <v>58</v>
      </c>
    </row>
    <row r="8" spans="1:14" ht="14.25" customHeight="1">
      <c r="A8" s="72" t="s">
        <v>152</v>
      </c>
      <c r="B8" s="446"/>
      <c r="C8" s="446"/>
      <c r="D8" s="446"/>
      <c r="E8" s="446"/>
      <c r="F8" s="446"/>
      <c r="G8" s="250">
        <v>-2</v>
      </c>
      <c r="H8" s="446"/>
      <c r="I8" s="446"/>
      <c r="J8" s="250">
        <v>0</v>
      </c>
      <c r="K8" s="428">
        <v>0</v>
      </c>
      <c r="L8" s="251">
        <v>0</v>
      </c>
      <c r="M8" s="370"/>
      <c r="N8" s="370"/>
    </row>
    <row r="9" spans="1:14" ht="14.25" customHeight="1">
      <c r="A9" s="72" t="s">
        <v>153</v>
      </c>
      <c r="B9" s="446"/>
      <c r="C9" s="446"/>
      <c r="D9" s="446"/>
      <c r="E9" s="446"/>
      <c r="F9" s="446"/>
      <c r="G9" s="250">
        <v>7</v>
      </c>
      <c r="H9" s="446"/>
      <c r="I9" s="446"/>
      <c r="J9" s="250">
        <v>8</v>
      </c>
      <c r="K9" s="429">
        <v>9</v>
      </c>
      <c r="L9" s="251">
        <v>3</v>
      </c>
    </row>
    <row r="10" spans="1:14" ht="14.25" customHeight="1">
      <c r="A10" s="72" t="s">
        <v>154</v>
      </c>
      <c r="B10" s="446"/>
      <c r="C10" s="446"/>
      <c r="D10" s="446"/>
      <c r="E10" s="446"/>
      <c r="F10" s="446"/>
      <c r="G10" s="250">
        <v>44</v>
      </c>
      <c r="H10" s="446"/>
      <c r="I10" s="446"/>
      <c r="J10" s="250">
        <v>52</v>
      </c>
      <c r="K10" s="429">
        <v>115</v>
      </c>
      <c r="L10" s="251">
        <v>57</v>
      </c>
      <c r="M10" s="166"/>
    </row>
    <row r="11" spans="1:14" ht="14.25" customHeight="1">
      <c r="A11" s="72" t="s">
        <v>155</v>
      </c>
      <c r="B11" s="446"/>
      <c r="C11" s="446"/>
      <c r="D11" s="446"/>
      <c r="E11" s="446"/>
      <c r="F11" s="446"/>
      <c r="G11" s="250">
        <v>-4</v>
      </c>
      <c r="H11" s="446"/>
      <c r="I11" s="446"/>
      <c r="J11" s="250">
        <v>-4</v>
      </c>
      <c r="K11" s="429">
        <v>-4</v>
      </c>
      <c r="L11" s="251">
        <v>11</v>
      </c>
      <c r="M11" s="166"/>
    </row>
    <row r="12" spans="1:14" ht="14.25" customHeight="1">
      <c r="A12" s="72" t="s">
        <v>156</v>
      </c>
      <c r="B12" s="446"/>
      <c r="C12" s="446"/>
      <c r="D12" s="446"/>
      <c r="E12" s="446"/>
      <c r="F12" s="250">
        <v>208</v>
      </c>
      <c r="G12" s="250">
        <v>-212</v>
      </c>
      <c r="H12" s="250">
        <v>132</v>
      </c>
      <c r="I12" s="250">
        <v>251</v>
      </c>
      <c r="J12" s="250">
        <v>-278</v>
      </c>
      <c r="K12" s="429">
        <v>-323</v>
      </c>
      <c r="L12" s="251">
        <v>-197</v>
      </c>
      <c r="M12" s="166"/>
    </row>
    <row r="13" spans="1:14" ht="14.25" customHeight="1">
      <c r="A13" s="72" t="s">
        <v>157</v>
      </c>
      <c r="B13" s="446"/>
      <c r="C13" s="446"/>
      <c r="D13" s="446"/>
      <c r="E13" s="446"/>
      <c r="F13" s="446"/>
      <c r="G13" s="250">
        <v>0</v>
      </c>
      <c r="H13" s="446"/>
      <c r="I13" s="446"/>
      <c r="J13" s="250">
        <v>0</v>
      </c>
      <c r="K13" s="429">
        <v>0</v>
      </c>
      <c r="L13" s="251">
        <v>0</v>
      </c>
    </row>
    <row r="14" spans="1:14" ht="14.25" customHeight="1">
      <c r="A14" s="72" t="s">
        <v>158</v>
      </c>
      <c r="B14" s="446"/>
      <c r="C14" s="446"/>
      <c r="D14" s="446"/>
      <c r="E14" s="446"/>
      <c r="F14" s="446"/>
      <c r="G14" s="250">
        <v>-5</v>
      </c>
      <c r="H14" s="446"/>
      <c r="I14" s="446"/>
      <c r="J14" s="250">
        <v>-4</v>
      </c>
      <c r="K14" s="429">
        <v>-3</v>
      </c>
      <c r="L14" s="251">
        <v>-3</v>
      </c>
      <c r="M14" s="166"/>
    </row>
    <row r="15" spans="1:14" ht="14.25" customHeight="1">
      <c r="A15" s="72" t="s">
        <v>159</v>
      </c>
      <c r="B15" s="446"/>
      <c r="C15" s="446"/>
      <c r="D15" s="446"/>
      <c r="E15" s="446"/>
      <c r="F15" s="446"/>
      <c r="G15" s="250">
        <v>0</v>
      </c>
      <c r="H15" s="446"/>
      <c r="I15" s="446"/>
      <c r="J15" s="250">
        <v>-2</v>
      </c>
      <c r="K15" s="429">
        <v>1</v>
      </c>
      <c r="L15" s="251">
        <v>16</v>
      </c>
    </row>
    <row r="16" spans="1:14" ht="14.25" customHeight="1">
      <c r="A16" s="73" t="s">
        <v>160</v>
      </c>
      <c r="B16" s="446"/>
      <c r="C16" s="446"/>
      <c r="D16" s="446"/>
      <c r="E16" s="446"/>
      <c r="F16" s="446"/>
      <c r="G16" s="342">
        <v>110</v>
      </c>
      <c r="H16" s="445"/>
      <c r="I16" s="445"/>
      <c r="J16" s="342">
        <v>-14</v>
      </c>
      <c r="K16" s="343">
        <v>-102</v>
      </c>
      <c r="L16" s="343">
        <v>-55</v>
      </c>
    </row>
    <row r="17" spans="1:12" ht="14.25" customHeight="1">
      <c r="A17" s="72" t="s">
        <v>161</v>
      </c>
      <c r="B17" s="446"/>
      <c r="C17" s="446"/>
      <c r="D17" s="446"/>
      <c r="E17" s="446"/>
      <c r="F17" s="446"/>
      <c r="G17" s="250">
        <v>3</v>
      </c>
      <c r="H17" s="446"/>
      <c r="I17" s="446"/>
      <c r="J17" s="250">
        <v>4</v>
      </c>
      <c r="K17" s="251">
        <v>0</v>
      </c>
      <c r="L17" s="251">
        <v>1</v>
      </c>
    </row>
    <row r="18" spans="1:12" ht="14.25" customHeight="1">
      <c r="A18" s="74" t="s">
        <v>147</v>
      </c>
      <c r="B18" s="461"/>
      <c r="C18" s="461"/>
      <c r="D18" s="461"/>
      <c r="E18" s="461"/>
      <c r="F18" s="340">
        <v>122</v>
      </c>
      <c r="G18" s="340">
        <v>107</v>
      </c>
      <c r="H18" s="340">
        <v>67</v>
      </c>
      <c r="I18" s="340">
        <v>245</v>
      </c>
      <c r="J18" s="340">
        <v>-18</v>
      </c>
      <c r="K18" s="341">
        <v>-102</v>
      </c>
      <c r="L18" s="341">
        <v>-56</v>
      </c>
    </row>
    <row r="20" spans="1:12">
      <c r="A20" s="177" t="s">
        <v>289</v>
      </c>
      <c r="B20" s="453"/>
      <c r="C20" s="453"/>
      <c r="D20" s="453"/>
      <c r="K20" s="370"/>
      <c r="L20" s="370"/>
    </row>
    <row r="21" spans="1:12">
      <c r="A21" s="177" t="s">
        <v>290</v>
      </c>
      <c r="B21" s="453"/>
      <c r="C21" s="453"/>
      <c r="D21" s="453"/>
    </row>
    <row r="22" spans="1:12">
      <c r="A22" s="177" t="s">
        <v>288</v>
      </c>
      <c r="B22" s="453"/>
      <c r="C22" s="453"/>
      <c r="D22" s="453"/>
    </row>
    <row r="23" spans="1:12">
      <c r="A23" s="180" t="s">
        <v>336</v>
      </c>
      <c r="B23" s="181" t="s">
        <v>308</v>
      </c>
      <c r="C23" s="453"/>
      <c r="D23" s="453"/>
    </row>
  </sheetData>
  <mergeCells count="1">
    <mergeCell ref="B1:G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8F77C-5FC0-48B0-A41E-B2CC7E0FECFB}">
  <dimension ref="A1:M18"/>
  <sheetViews>
    <sheetView showGridLines="0" workbookViewId="0">
      <selection activeCell="C20" sqref="C20"/>
    </sheetView>
  </sheetViews>
  <sheetFormatPr defaultColWidth="9.1796875" defaultRowHeight="14"/>
  <cols>
    <col min="1" max="1" width="21.54296875" style="19" customWidth="1"/>
    <col min="2" max="6" width="12.1796875" style="19" bestFit="1" customWidth="1"/>
    <col min="7" max="16384" width="9.1796875" style="19"/>
  </cols>
  <sheetData>
    <row r="1" spans="1:13" ht="14.5">
      <c r="A1" s="20" t="s">
        <v>162</v>
      </c>
      <c r="B1" s="479" t="s">
        <v>163</v>
      </c>
      <c r="C1" s="480"/>
      <c r="D1" s="480"/>
      <c r="E1" s="480"/>
      <c r="F1" s="480"/>
      <c r="I1" s="27" t="str">
        <f>HYPERLINK("#Contents!A38","BACK TO CONTENTS")</f>
        <v>BACK TO CONTENTS</v>
      </c>
    </row>
    <row r="3" spans="1:13">
      <c r="A3" s="20" t="s">
        <v>164</v>
      </c>
    </row>
    <row r="4" spans="1:13" ht="14.25" customHeight="1" thickBot="1">
      <c r="A4" s="33" t="s">
        <v>443</v>
      </c>
      <c r="B4" s="24">
        <v>2013</v>
      </c>
      <c r="C4" s="24">
        <v>2014</v>
      </c>
      <c r="D4" s="24">
        <v>2015</v>
      </c>
      <c r="E4" s="24">
        <v>2016</v>
      </c>
      <c r="F4" s="24">
        <v>2017</v>
      </c>
      <c r="G4" s="24">
        <v>2018</v>
      </c>
      <c r="H4" s="24">
        <v>2019</v>
      </c>
      <c r="I4" s="24">
        <v>2020</v>
      </c>
      <c r="J4" s="24">
        <v>2021</v>
      </c>
      <c r="K4" s="24">
        <v>2022</v>
      </c>
      <c r="L4" s="32">
        <v>2023</v>
      </c>
      <c r="M4" s="32">
        <v>2024</v>
      </c>
    </row>
    <row r="5" spans="1:13" ht="14.25" customHeight="1" thickTop="1">
      <c r="A5" s="16" t="s">
        <v>272</v>
      </c>
      <c r="B5" s="252">
        <f>B6+B13</f>
        <v>95</v>
      </c>
      <c r="C5" s="252">
        <f t="shared" ref="C5:K5" si="0">C6+C13</f>
        <v>93</v>
      </c>
      <c r="D5" s="252">
        <f t="shared" si="0"/>
        <v>91</v>
      </c>
      <c r="E5" s="252">
        <f t="shared" si="0"/>
        <v>89</v>
      </c>
      <c r="F5" s="252">
        <f t="shared" si="0"/>
        <v>88</v>
      </c>
      <c r="G5" s="252">
        <f t="shared" si="0"/>
        <v>89</v>
      </c>
      <c r="H5" s="252">
        <f t="shared" si="0"/>
        <v>85</v>
      </c>
      <c r="I5" s="252">
        <f t="shared" si="0"/>
        <v>86</v>
      </c>
      <c r="J5" s="252">
        <f t="shared" si="0"/>
        <v>92</v>
      </c>
      <c r="K5" s="252">
        <f t="shared" si="0"/>
        <v>92</v>
      </c>
      <c r="L5" s="253">
        <f>L6+L13</f>
        <v>88</v>
      </c>
      <c r="M5" s="253">
        <f>M6+M13</f>
        <v>91</v>
      </c>
    </row>
    <row r="6" spans="1:13" ht="14.25" customHeight="1">
      <c r="A6" s="171" t="s">
        <v>17</v>
      </c>
      <c r="B6" s="254">
        <f>B7+B10</f>
        <v>95</v>
      </c>
      <c r="C6" s="254">
        <f t="shared" ref="C6:K6" si="1">C7+C10</f>
        <v>93</v>
      </c>
      <c r="D6" s="254">
        <f t="shared" si="1"/>
        <v>91</v>
      </c>
      <c r="E6" s="254">
        <f t="shared" si="1"/>
        <v>87</v>
      </c>
      <c r="F6" s="254">
        <f t="shared" si="1"/>
        <v>86</v>
      </c>
      <c r="G6" s="254">
        <f t="shared" si="1"/>
        <v>86</v>
      </c>
      <c r="H6" s="254">
        <f t="shared" si="1"/>
        <v>81</v>
      </c>
      <c r="I6" s="254">
        <f t="shared" si="1"/>
        <v>82</v>
      </c>
      <c r="J6" s="254">
        <f t="shared" si="1"/>
        <v>87</v>
      </c>
      <c r="K6" s="254">
        <f t="shared" si="1"/>
        <v>87</v>
      </c>
      <c r="L6" s="255">
        <f>L7+L10</f>
        <v>83</v>
      </c>
      <c r="M6" s="255">
        <f>M7+M10</f>
        <v>85</v>
      </c>
    </row>
    <row r="7" spans="1:13" ht="14.25" customHeight="1">
      <c r="A7" s="171" t="s">
        <v>273</v>
      </c>
      <c r="B7" s="254">
        <f>B8+B9</f>
        <v>0</v>
      </c>
      <c r="C7" s="254">
        <f t="shared" ref="C7:K7" si="2">C8+C9</f>
        <v>0</v>
      </c>
      <c r="D7" s="254">
        <f t="shared" si="2"/>
        <v>0</v>
      </c>
      <c r="E7" s="254">
        <f t="shared" si="2"/>
        <v>4</v>
      </c>
      <c r="F7" s="254">
        <f t="shared" si="2"/>
        <v>4</v>
      </c>
      <c r="G7" s="254">
        <f t="shared" si="2"/>
        <v>4</v>
      </c>
      <c r="H7" s="254">
        <f t="shared" si="2"/>
        <v>4</v>
      </c>
      <c r="I7" s="254">
        <f t="shared" si="2"/>
        <v>4</v>
      </c>
      <c r="J7" s="254">
        <f t="shared" si="2"/>
        <v>5</v>
      </c>
      <c r="K7" s="254">
        <f t="shared" si="2"/>
        <v>5</v>
      </c>
      <c r="L7" s="255">
        <f>L8+L9</f>
        <v>5</v>
      </c>
      <c r="M7" s="255">
        <f>M8+M9</f>
        <v>7</v>
      </c>
    </row>
    <row r="8" spans="1:13" ht="14.25" customHeight="1">
      <c r="A8" s="162" t="s">
        <v>274</v>
      </c>
      <c r="B8" s="256"/>
      <c r="C8" s="459"/>
      <c r="D8" s="459"/>
      <c r="E8" s="256">
        <v>3</v>
      </c>
      <c r="F8" s="256">
        <v>3</v>
      </c>
      <c r="G8" s="256">
        <v>3</v>
      </c>
      <c r="H8" s="256">
        <v>3</v>
      </c>
      <c r="I8" s="256">
        <v>3</v>
      </c>
      <c r="J8" s="256">
        <v>4</v>
      </c>
      <c r="K8" s="256">
        <v>3</v>
      </c>
      <c r="L8" s="257">
        <v>3</v>
      </c>
      <c r="M8" s="257">
        <v>5</v>
      </c>
    </row>
    <row r="9" spans="1:13" ht="14.25" customHeight="1">
      <c r="A9" s="162" t="s">
        <v>275</v>
      </c>
      <c r="B9" s="256"/>
      <c r="C9" s="459"/>
      <c r="D9" s="459"/>
      <c r="E9" s="256">
        <v>1</v>
      </c>
      <c r="F9" s="256">
        <v>1</v>
      </c>
      <c r="G9" s="256">
        <v>1</v>
      </c>
      <c r="H9" s="256">
        <v>1</v>
      </c>
      <c r="I9" s="256">
        <v>1</v>
      </c>
      <c r="J9" s="256">
        <v>1</v>
      </c>
      <c r="K9" s="256">
        <v>2</v>
      </c>
      <c r="L9" s="257">
        <v>2</v>
      </c>
      <c r="M9" s="257">
        <v>2</v>
      </c>
    </row>
    <row r="10" spans="1:13" ht="14.25" customHeight="1">
      <c r="A10" s="171" t="s">
        <v>276</v>
      </c>
      <c r="B10" s="254">
        <f>SUM(B11:B12)</f>
        <v>95</v>
      </c>
      <c r="C10" s="254">
        <f t="shared" ref="C10:K10" si="3">SUM(C11:C12)</f>
        <v>93</v>
      </c>
      <c r="D10" s="254">
        <f t="shared" si="3"/>
        <v>91</v>
      </c>
      <c r="E10" s="254">
        <f t="shared" si="3"/>
        <v>83</v>
      </c>
      <c r="F10" s="254">
        <f t="shared" si="3"/>
        <v>82</v>
      </c>
      <c r="G10" s="254">
        <f t="shared" si="3"/>
        <v>82</v>
      </c>
      <c r="H10" s="254">
        <f t="shared" si="3"/>
        <v>77</v>
      </c>
      <c r="I10" s="254">
        <f t="shared" si="3"/>
        <v>78</v>
      </c>
      <c r="J10" s="254">
        <f t="shared" si="3"/>
        <v>82</v>
      </c>
      <c r="K10" s="254">
        <f t="shared" si="3"/>
        <v>82</v>
      </c>
      <c r="L10" s="255">
        <f>SUM(L11:L12)</f>
        <v>78</v>
      </c>
      <c r="M10" s="255">
        <f>SUM(M11:M12)</f>
        <v>78</v>
      </c>
    </row>
    <row r="11" spans="1:13" ht="14.25" customHeight="1">
      <c r="A11" s="162" t="s">
        <v>274</v>
      </c>
      <c r="B11" s="256">
        <v>90</v>
      </c>
      <c r="C11" s="256">
        <v>87</v>
      </c>
      <c r="D11" s="256">
        <v>86</v>
      </c>
      <c r="E11" s="256">
        <v>79</v>
      </c>
      <c r="F11" s="256">
        <v>78</v>
      </c>
      <c r="G11" s="256">
        <v>77</v>
      </c>
      <c r="H11" s="256">
        <v>72</v>
      </c>
      <c r="I11" s="256">
        <v>73</v>
      </c>
      <c r="J11" s="256">
        <v>77</v>
      </c>
      <c r="K11" s="256">
        <v>77</v>
      </c>
      <c r="L11" s="257">
        <v>73</v>
      </c>
      <c r="M11" s="257">
        <v>73</v>
      </c>
    </row>
    <row r="12" spans="1:13" ht="14.25" customHeight="1">
      <c r="A12" s="162" t="s">
        <v>275</v>
      </c>
      <c r="B12" s="256">
        <v>5</v>
      </c>
      <c r="C12" s="256">
        <v>6</v>
      </c>
      <c r="D12" s="256">
        <v>5</v>
      </c>
      <c r="E12" s="256">
        <v>4</v>
      </c>
      <c r="F12" s="256">
        <v>4</v>
      </c>
      <c r="G12" s="256">
        <v>5</v>
      </c>
      <c r="H12" s="256">
        <v>5</v>
      </c>
      <c r="I12" s="256">
        <v>5</v>
      </c>
      <c r="J12" s="256">
        <v>5</v>
      </c>
      <c r="K12" s="256">
        <v>5</v>
      </c>
      <c r="L12" s="257">
        <v>5</v>
      </c>
      <c r="M12" s="257">
        <v>5</v>
      </c>
    </row>
    <row r="13" spans="1:13" ht="14.25" customHeight="1">
      <c r="A13" s="165" t="s">
        <v>444</v>
      </c>
      <c r="B13" s="258"/>
      <c r="C13" s="460"/>
      <c r="D13" s="460"/>
      <c r="E13" s="258">
        <v>2</v>
      </c>
      <c r="F13" s="258">
        <v>2</v>
      </c>
      <c r="G13" s="258">
        <v>3</v>
      </c>
      <c r="H13" s="258">
        <v>4</v>
      </c>
      <c r="I13" s="258">
        <v>4</v>
      </c>
      <c r="J13" s="258">
        <v>5</v>
      </c>
      <c r="K13" s="258">
        <v>5</v>
      </c>
      <c r="L13" s="259">
        <v>5</v>
      </c>
      <c r="M13" s="259">
        <v>6</v>
      </c>
    </row>
    <row r="15" spans="1:13">
      <c r="A15" s="34" t="s">
        <v>336</v>
      </c>
      <c r="B15" s="181" t="s">
        <v>442</v>
      </c>
    </row>
    <row r="16" spans="1:13">
      <c r="A16" s="34" t="s">
        <v>37</v>
      </c>
      <c r="B16" s="34" t="s">
        <v>277</v>
      </c>
      <c r="C16" s="34"/>
    </row>
    <row r="17" spans="1:3">
      <c r="A17" s="34"/>
      <c r="B17" s="34"/>
      <c r="C17" s="34"/>
    </row>
    <row r="18" spans="1:3">
      <c r="A18" s="180"/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6E8B2-3BEC-4B31-A6BD-7DABC01935C3}">
  <dimension ref="A1:M34"/>
  <sheetViews>
    <sheetView showGridLines="0" workbookViewId="0">
      <selection activeCell="M8" sqref="M8"/>
    </sheetView>
  </sheetViews>
  <sheetFormatPr defaultColWidth="9.1796875" defaultRowHeight="14"/>
  <cols>
    <col min="1" max="1" width="28.7265625" style="19" customWidth="1"/>
    <col min="2" max="4" width="10.26953125" style="19" bestFit="1" customWidth="1"/>
    <col min="5" max="7" width="11.26953125" style="19" bestFit="1" customWidth="1"/>
    <col min="8" max="9" width="9.1796875" style="19"/>
    <col min="10" max="10" width="11.453125" style="19" customWidth="1"/>
    <col min="11" max="16384" width="9.1796875" style="19"/>
  </cols>
  <sheetData>
    <row r="1" spans="1:13" ht="29.25" customHeight="1">
      <c r="A1" s="20" t="s">
        <v>165</v>
      </c>
      <c r="B1" s="487" t="s">
        <v>166</v>
      </c>
      <c r="C1" s="495"/>
      <c r="D1" s="495"/>
      <c r="E1" s="495"/>
      <c r="F1" s="495"/>
      <c r="I1" s="27" t="str">
        <f>HYPERLINK("#Contents!A38","BACK TO CONTENTS")</f>
        <v>BACK TO CONTENTS</v>
      </c>
    </row>
    <row r="3" spans="1:13">
      <c r="A3" s="20" t="s">
        <v>22</v>
      </c>
    </row>
    <row r="4" spans="1:13" ht="14.25" customHeight="1" thickBot="1">
      <c r="A4" s="78" t="s">
        <v>23</v>
      </c>
      <c r="B4" s="79">
        <v>2013</v>
      </c>
      <c r="C4" s="79">
        <v>2014</v>
      </c>
      <c r="D4" s="79">
        <v>2015</v>
      </c>
      <c r="E4" s="79">
        <v>2016</v>
      </c>
      <c r="F4" s="80">
        <v>2017</v>
      </c>
      <c r="G4" s="80">
        <v>2018</v>
      </c>
      <c r="H4" s="80">
        <v>2019</v>
      </c>
      <c r="I4" s="80">
        <v>2020</v>
      </c>
      <c r="J4" s="80">
        <v>2021</v>
      </c>
      <c r="K4" s="81">
        <v>2022</v>
      </c>
      <c r="L4" s="81">
        <v>2023</v>
      </c>
    </row>
    <row r="5" spans="1:13" ht="14.25" customHeight="1" thickTop="1">
      <c r="A5" s="82" t="s">
        <v>167</v>
      </c>
      <c r="B5" s="260">
        <v>58651</v>
      </c>
      <c r="C5" s="260">
        <v>59392</v>
      </c>
      <c r="D5" s="260">
        <v>73845</v>
      </c>
      <c r="E5" s="260">
        <v>75129</v>
      </c>
      <c r="F5" s="260">
        <v>78855</v>
      </c>
      <c r="G5" s="260">
        <v>81818</v>
      </c>
      <c r="H5" s="260">
        <v>88573</v>
      </c>
      <c r="I5" s="260">
        <v>91823</v>
      </c>
      <c r="J5" s="260">
        <v>109977</v>
      </c>
      <c r="K5" s="261">
        <v>117109</v>
      </c>
      <c r="L5" s="261">
        <v>130022.71</v>
      </c>
    </row>
    <row r="6" spans="1:13" ht="14.25" customHeight="1">
      <c r="A6" s="83" t="s">
        <v>168</v>
      </c>
      <c r="B6" s="262">
        <f t="shared" ref="B6:J6" si="0">B24+B30</f>
        <v>58985</v>
      </c>
      <c r="C6" s="262">
        <f t="shared" si="0"/>
        <v>59393</v>
      </c>
      <c r="D6" s="262">
        <f t="shared" si="0"/>
        <v>72497</v>
      </c>
      <c r="E6" s="262">
        <f t="shared" si="0"/>
        <v>38370</v>
      </c>
      <c r="F6" s="262">
        <f t="shared" si="0"/>
        <v>82004</v>
      </c>
      <c r="G6" s="262">
        <f t="shared" si="0"/>
        <v>78972</v>
      </c>
      <c r="H6" s="262">
        <f t="shared" si="0"/>
        <v>93134</v>
      </c>
      <c r="I6" s="262">
        <f t="shared" si="0"/>
        <v>105174</v>
      </c>
      <c r="J6" s="262">
        <f t="shared" si="0"/>
        <v>120141</v>
      </c>
      <c r="K6" s="263">
        <f>K24+K30</f>
        <v>117954</v>
      </c>
      <c r="L6" s="263">
        <f>L24+L30</f>
        <v>139037.79399999999</v>
      </c>
    </row>
    <row r="7" spans="1:13" ht="14.25" customHeight="1">
      <c r="A7" s="84" t="s">
        <v>169</v>
      </c>
      <c r="B7" s="250">
        <v>875</v>
      </c>
      <c r="C7" s="250">
        <v>999</v>
      </c>
      <c r="D7" s="250">
        <v>909</v>
      </c>
      <c r="E7" s="250">
        <v>1013</v>
      </c>
      <c r="F7" s="250">
        <v>1066</v>
      </c>
      <c r="G7" s="250">
        <v>1130</v>
      </c>
      <c r="H7" s="250">
        <v>1500</v>
      </c>
      <c r="I7" s="250">
        <v>1602</v>
      </c>
      <c r="J7" s="250">
        <v>1736</v>
      </c>
      <c r="K7" s="264">
        <v>1937</v>
      </c>
      <c r="L7" s="264">
        <v>1841.97</v>
      </c>
    </row>
    <row r="8" spans="1:13" ht="14.25" customHeight="1">
      <c r="A8" s="84" t="s">
        <v>170</v>
      </c>
      <c r="B8" s="250">
        <v>1923</v>
      </c>
      <c r="C8" s="250">
        <v>2134</v>
      </c>
      <c r="D8" s="250">
        <v>2540</v>
      </c>
      <c r="E8" s="250">
        <v>2765</v>
      </c>
      <c r="F8" s="250">
        <v>2925</v>
      </c>
      <c r="G8" s="250">
        <v>3152</v>
      </c>
      <c r="H8" s="250">
        <v>3073</v>
      </c>
      <c r="I8" s="250">
        <v>3632</v>
      </c>
      <c r="J8" s="250">
        <v>3913</v>
      </c>
      <c r="K8" s="264">
        <v>3673</v>
      </c>
      <c r="L8" s="264">
        <v>4745.1499999999996</v>
      </c>
    </row>
    <row r="9" spans="1:13" ht="14.25" customHeight="1">
      <c r="A9" s="84" t="s">
        <v>171</v>
      </c>
      <c r="B9" s="250">
        <v>7350</v>
      </c>
      <c r="C9" s="250">
        <v>6345</v>
      </c>
      <c r="D9" s="250">
        <v>8018</v>
      </c>
      <c r="E9" s="250">
        <v>3328</v>
      </c>
      <c r="F9" s="250">
        <v>4108</v>
      </c>
      <c r="G9" s="250">
        <v>2500</v>
      </c>
      <c r="H9" s="250">
        <v>6968</v>
      </c>
      <c r="I9" s="250">
        <v>777</v>
      </c>
      <c r="J9" s="250">
        <v>17031</v>
      </c>
      <c r="K9" s="264">
        <v>6457</v>
      </c>
      <c r="L9" s="264">
        <v>8917.2669999999998</v>
      </c>
    </row>
    <row r="10" spans="1:13" ht="14.25" customHeight="1">
      <c r="A10" s="84" t="s">
        <v>172</v>
      </c>
      <c r="B10" s="250">
        <v>4</v>
      </c>
      <c r="C10" s="250">
        <v>8</v>
      </c>
      <c r="D10" s="250">
        <v>9</v>
      </c>
      <c r="E10" s="250">
        <v>7</v>
      </c>
      <c r="F10" s="250">
        <v>14</v>
      </c>
      <c r="G10" s="250">
        <v>12</v>
      </c>
      <c r="H10" s="250">
        <v>19</v>
      </c>
      <c r="I10" s="250">
        <v>34</v>
      </c>
      <c r="J10" s="250">
        <v>9</v>
      </c>
      <c r="K10" s="264">
        <v>7</v>
      </c>
      <c r="L10" s="264">
        <v>6.95</v>
      </c>
    </row>
    <row r="11" spans="1:13" ht="14.25" customHeight="1">
      <c r="A11" s="84" t="s">
        <v>173</v>
      </c>
      <c r="B11" s="250">
        <v>778</v>
      </c>
      <c r="C11" s="250">
        <v>999</v>
      </c>
      <c r="D11" s="250">
        <v>1063</v>
      </c>
      <c r="E11" s="250">
        <v>498</v>
      </c>
      <c r="F11" s="250">
        <v>323</v>
      </c>
      <c r="G11" s="250">
        <v>201</v>
      </c>
      <c r="H11" s="250">
        <v>240</v>
      </c>
      <c r="I11" s="250">
        <v>180</v>
      </c>
      <c r="J11" s="250">
        <v>887</v>
      </c>
      <c r="K11" s="264">
        <v>103</v>
      </c>
      <c r="L11" s="264">
        <v>206.14</v>
      </c>
    </row>
    <row r="12" spans="1:13" ht="14.25" customHeight="1">
      <c r="A12" s="85" t="s">
        <v>174</v>
      </c>
      <c r="B12" s="265">
        <f>SUM(B7:B11)</f>
        <v>10930</v>
      </c>
      <c r="C12" s="265">
        <f>SUM(C7:C11)</f>
        <v>10485</v>
      </c>
      <c r="D12" s="265">
        <f>SUM(D7:D11)</f>
        <v>12539</v>
      </c>
      <c r="E12" s="265">
        <f>SUM(E7:E11)</f>
        <v>7611</v>
      </c>
      <c r="F12" s="265">
        <f t="shared" ref="F12:L12" si="1">SUM(F7:F11)</f>
        <v>8436</v>
      </c>
      <c r="G12" s="265">
        <f t="shared" si="1"/>
        <v>6995</v>
      </c>
      <c r="H12" s="265">
        <f t="shared" si="1"/>
        <v>11800</v>
      </c>
      <c r="I12" s="265">
        <f t="shared" si="1"/>
        <v>6225</v>
      </c>
      <c r="J12" s="265">
        <f t="shared" si="1"/>
        <v>23576</v>
      </c>
      <c r="K12" s="266">
        <f t="shared" si="1"/>
        <v>12177</v>
      </c>
      <c r="L12" s="266">
        <f t="shared" si="1"/>
        <v>15717.476999999999</v>
      </c>
      <c r="M12" s="77"/>
    </row>
    <row r="13" spans="1:13" ht="14.25" customHeight="1">
      <c r="A13" s="84" t="s">
        <v>175</v>
      </c>
      <c r="B13" s="250">
        <v>3112</v>
      </c>
      <c r="C13" s="250">
        <v>3204</v>
      </c>
      <c r="D13" s="250">
        <v>3305</v>
      </c>
      <c r="E13" s="250">
        <v>3764</v>
      </c>
      <c r="F13" s="250">
        <v>2816</v>
      </c>
      <c r="G13" s="250">
        <v>3793</v>
      </c>
      <c r="H13" s="250">
        <v>2962</v>
      </c>
      <c r="I13" s="250">
        <v>3704</v>
      </c>
      <c r="J13" s="250">
        <v>3681</v>
      </c>
      <c r="K13" s="264">
        <v>5387</v>
      </c>
      <c r="L13" s="264">
        <v>5989.5569999999998</v>
      </c>
    </row>
    <row r="14" spans="1:13" ht="14.25" customHeight="1">
      <c r="A14" s="84" t="s">
        <v>176</v>
      </c>
      <c r="B14" s="250">
        <v>15</v>
      </c>
      <c r="C14" s="250">
        <v>11</v>
      </c>
      <c r="D14" s="250">
        <v>15</v>
      </c>
      <c r="E14" s="250">
        <v>18</v>
      </c>
      <c r="F14" s="250">
        <v>178</v>
      </c>
      <c r="G14" s="250">
        <v>17</v>
      </c>
      <c r="H14" s="250">
        <v>18</v>
      </c>
      <c r="I14" s="250">
        <v>19</v>
      </c>
      <c r="J14" s="250">
        <v>23</v>
      </c>
      <c r="K14" s="264">
        <v>8</v>
      </c>
      <c r="L14" s="264">
        <v>20</v>
      </c>
    </row>
    <row r="15" spans="1:13" ht="21" customHeight="1">
      <c r="A15" s="86" t="s">
        <v>177</v>
      </c>
      <c r="B15" s="250">
        <v>653</v>
      </c>
      <c r="C15" s="250">
        <v>718</v>
      </c>
      <c r="D15" s="250">
        <v>701</v>
      </c>
      <c r="E15" s="250">
        <v>641</v>
      </c>
      <c r="F15" s="250">
        <v>695</v>
      </c>
      <c r="G15" s="250">
        <v>237</v>
      </c>
      <c r="H15" s="250">
        <v>767</v>
      </c>
      <c r="I15" s="250">
        <v>762</v>
      </c>
      <c r="J15" s="250">
        <v>1328</v>
      </c>
      <c r="K15" s="264">
        <v>1469</v>
      </c>
      <c r="L15" s="264">
        <v>1398.8</v>
      </c>
    </row>
    <row r="16" spans="1:13" ht="14.25" customHeight="1">
      <c r="A16" s="85" t="s">
        <v>178</v>
      </c>
      <c r="B16" s="265">
        <f t="shared" ref="B16:J16" si="2">SUM(B13:B15)</f>
        <v>3780</v>
      </c>
      <c r="C16" s="265">
        <f t="shared" si="2"/>
        <v>3933</v>
      </c>
      <c r="D16" s="265">
        <f t="shared" si="2"/>
        <v>4021</v>
      </c>
      <c r="E16" s="265">
        <f t="shared" si="2"/>
        <v>4423</v>
      </c>
      <c r="F16" s="265">
        <f t="shared" si="2"/>
        <v>3689</v>
      </c>
      <c r="G16" s="265">
        <f t="shared" si="2"/>
        <v>4047</v>
      </c>
      <c r="H16" s="265">
        <f t="shared" si="2"/>
        <v>3747</v>
      </c>
      <c r="I16" s="265">
        <f t="shared" si="2"/>
        <v>4485</v>
      </c>
      <c r="J16" s="265">
        <f t="shared" si="2"/>
        <v>5032</v>
      </c>
      <c r="K16" s="267">
        <f>K15</f>
        <v>1469</v>
      </c>
      <c r="L16" s="267">
        <f>L15</f>
        <v>1398.8</v>
      </c>
    </row>
    <row r="17" spans="1:12" ht="14.25" customHeight="1">
      <c r="A17" s="84" t="s">
        <v>179</v>
      </c>
      <c r="B17" s="250">
        <v>11990</v>
      </c>
      <c r="C17" s="250">
        <v>12833</v>
      </c>
      <c r="D17" s="250">
        <v>13216</v>
      </c>
      <c r="E17" s="250">
        <v>13898</v>
      </c>
      <c r="F17" s="250">
        <v>14189</v>
      </c>
      <c r="G17" s="250">
        <v>13034</v>
      </c>
      <c r="H17" s="250">
        <v>13155</v>
      </c>
      <c r="I17" s="250">
        <v>12814</v>
      </c>
      <c r="J17" s="250">
        <v>15895</v>
      </c>
      <c r="K17" s="264">
        <v>15821</v>
      </c>
      <c r="L17" s="264">
        <v>19395.007000000001</v>
      </c>
    </row>
    <row r="18" spans="1:12" ht="14.25" customHeight="1">
      <c r="A18" s="84" t="s">
        <v>396</v>
      </c>
      <c r="B18" s="250">
        <v>0</v>
      </c>
      <c r="C18" s="250">
        <v>0</v>
      </c>
      <c r="D18" s="250">
        <v>0</v>
      </c>
      <c r="E18" s="250">
        <v>0</v>
      </c>
      <c r="F18" s="250">
        <v>0</v>
      </c>
      <c r="G18" s="250">
        <v>0</v>
      </c>
      <c r="H18" s="250">
        <v>0</v>
      </c>
      <c r="I18" s="250">
        <v>0</v>
      </c>
      <c r="J18" s="250">
        <v>0</v>
      </c>
      <c r="K18" s="264">
        <v>0</v>
      </c>
      <c r="L18" s="264">
        <v>2130</v>
      </c>
    </row>
    <row r="19" spans="1:12" ht="14.25" customHeight="1">
      <c r="A19" s="84" t="s">
        <v>180</v>
      </c>
      <c r="B19" s="250">
        <v>119</v>
      </c>
      <c r="C19" s="250">
        <v>403</v>
      </c>
      <c r="D19" s="250">
        <v>363</v>
      </c>
      <c r="E19" s="250">
        <v>409</v>
      </c>
      <c r="F19" s="250">
        <v>411</v>
      </c>
      <c r="G19" s="250">
        <v>580</v>
      </c>
      <c r="H19" s="250">
        <v>737</v>
      </c>
      <c r="I19" s="250">
        <v>1002</v>
      </c>
      <c r="J19" s="250">
        <v>811</v>
      </c>
      <c r="K19" s="264">
        <v>846</v>
      </c>
      <c r="L19" s="264">
        <v>998.03499999999997</v>
      </c>
    </row>
    <row r="20" spans="1:12" ht="14.25" customHeight="1">
      <c r="A20" s="84" t="s">
        <v>181</v>
      </c>
      <c r="B20" s="250">
        <v>8417</v>
      </c>
      <c r="C20" s="250">
        <v>7847</v>
      </c>
      <c r="D20" s="250">
        <v>8946</v>
      </c>
      <c r="E20" s="250">
        <v>8169</v>
      </c>
      <c r="F20" s="250">
        <v>8021</v>
      </c>
      <c r="G20" s="250">
        <v>8432</v>
      </c>
      <c r="H20" s="250">
        <v>8987</v>
      </c>
      <c r="I20" s="250">
        <v>9674</v>
      </c>
      <c r="J20" s="250">
        <v>10221</v>
      </c>
      <c r="K20" s="264">
        <v>10964</v>
      </c>
      <c r="L20" s="264">
        <v>12996.071</v>
      </c>
    </row>
    <row r="21" spans="1:12" ht="14.25" customHeight="1">
      <c r="A21" s="84" t="s">
        <v>307</v>
      </c>
      <c r="B21" s="250">
        <v>3470</v>
      </c>
      <c r="C21" s="250">
        <v>2639</v>
      </c>
      <c r="D21" s="250">
        <v>3296</v>
      </c>
      <c r="E21" s="250">
        <v>2760</v>
      </c>
      <c r="F21" s="250">
        <v>3596</v>
      </c>
      <c r="G21" s="250">
        <v>6619</v>
      </c>
      <c r="H21" s="250">
        <v>8988</v>
      </c>
      <c r="I21" s="250">
        <v>7993</v>
      </c>
      <c r="J21" s="250">
        <v>6579</v>
      </c>
      <c r="K21" s="264">
        <v>10019</v>
      </c>
      <c r="L21" s="264">
        <v>13905.28</v>
      </c>
    </row>
    <row r="22" spans="1:12" ht="14.25" customHeight="1">
      <c r="A22" s="84" t="s">
        <v>182</v>
      </c>
      <c r="B22" s="250">
        <v>245</v>
      </c>
      <c r="C22" s="250">
        <v>322</v>
      </c>
      <c r="D22" s="250">
        <v>337</v>
      </c>
      <c r="E22" s="250">
        <v>371</v>
      </c>
      <c r="F22" s="250">
        <v>370</v>
      </c>
      <c r="G22" s="250">
        <v>1494</v>
      </c>
      <c r="H22" s="250">
        <v>1802</v>
      </c>
      <c r="I22" s="250">
        <v>3160</v>
      </c>
      <c r="J22" s="250">
        <v>4223</v>
      </c>
      <c r="K22" s="264">
        <v>3615</v>
      </c>
      <c r="L22" s="264">
        <v>3905.28</v>
      </c>
    </row>
    <row r="23" spans="1:12" ht="14.25" customHeight="1">
      <c r="A23" s="84" t="s">
        <v>183</v>
      </c>
      <c r="B23" s="250">
        <v>0</v>
      </c>
      <c r="C23" s="250">
        <v>0</v>
      </c>
      <c r="D23" s="250">
        <v>1429</v>
      </c>
      <c r="E23" s="250">
        <v>2082</v>
      </c>
      <c r="F23" s="250">
        <v>2070</v>
      </c>
      <c r="G23" s="250">
        <v>2114</v>
      </c>
      <c r="H23" s="250">
        <v>2348</v>
      </c>
      <c r="I23" s="250">
        <v>2349</v>
      </c>
      <c r="J23" s="250">
        <v>2535</v>
      </c>
      <c r="K23" s="264">
        <v>3537</v>
      </c>
      <c r="L23" s="264">
        <v>3179.1309999999999</v>
      </c>
    </row>
    <row r="24" spans="1:12" ht="14.25" customHeight="1">
      <c r="A24" s="85" t="s">
        <v>184</v>
      </c>
      <c r="B24" s="265">
        <f t="shared" ref="B24:L24" si="3">SUM(B17:B23)</f>
        <v>24241</v>
      </c>
      <c r="C24" s="265">
        <f t="shared" si="3"/>
        <v>24044</v>
      </c>
      <c r="D24" s="265">
        <f t="shared" si="3"/>
        <v>27587</v>
      </c>
      <c r="E24" s="265">
        <f t="shared" si="3"/>
        <v>27689</v>
      </c>
      <c r="F24" s="265">
        <f t="shared" si="3"/>
        <v>28657</v>
      </c>
      <c r="G24" s="265">
        <f t="shared" si="3"/>
        <v>32273</v>
      </c>
      <c r="H24" s="265">
        <f t="shared" si="3"/>
        <v>36017</v>
      </c>
      <c r="I24" s="265">
        <f t="shared" si="3"/>
        <v>36992</v>
      </c>
      <c r="J24" s="265">
        <f t="shared" si="3"/>
        <v>40264</v>
      </c>
      <c r="K24" s="267">
        <f t="shared" si="3"/>
        <v>44802</v>
      </c>
      <c r="L24" s="267">
        <f t="shared" si="3"/>
        <v>56508.803999999996</v>
      </c>
    </row>
    <row r="25" spans="1:12" ht="14.25" customHeight="1">
      <c r="A25" s="84" t="s">
        <v>185</v>
      </c>
      <c r="B25" s="250">
        <v>29742</v>
      </c>
      <c r="C25" s="250">
        <v>27322</v>
      </c>
      <c r="D25" s="250">
        <v>36938</v>
      </c>
      <c r="E25" s="250">
        <v>37</v>
      </c>
      <c r="F25" s="250">
        <v>39418</v>
      </c>
      <c r="G25" s="250">
        <v>36610</v>
      </c>
      <c r="H25" s="250">
        <v>42939</v>
      </c>
      <c r="I25" s="250">
        <v>52041</v>
      </c>
      <c r="J25" s="250">
        <v>60872</v>
      </c>
      <c r="K25" s="264">
        <v>53244</v>
      </c>
      <c r="L25" s="264">
        <v>63650.44</v>
      </c>
    </row>
    <row r="26" spans="1:12" ht="14.25" customHeight="1">
      <c r="A26" s="84" t="s">
        <v>186</v>
      </c>
      <c r="B26" s="250">
        <v>4159</v>
      </c>
      <c r="C26" s="250">
        <v>6015</v>
      </c>
      <c r="D26" s="250">
        <v>7853</v>
      </c>
      <c r="E26" s="250">
        <v>8176</v>
      </c>
      <c r="F26" s="250">
        <v>9934</v>
      </c>
      <c r="G26" s="250">
        <v>5846</v>
      </c>
      <c r="H26" s="250">
        <v>6087</v>
      </c>
      <c r="I26" s="250">
        <v>6398</v>
      </c>
      <c r="J26" s="250">
        <v>6293</v>
      </c>
      <c r="K26" s="264">
        <v>7210</v>
      </c>
      <c r="L26" s="264">
        <v>9779.2099999999991</v>
      </c>
    </row>
    <row r="27" spans="1:12" ht="14.25" customHeight="1">
      <c r="A27" s="84" t="s">
        <v>187</v>
      </c>
      <c r="B27" s="250">
        <v>843</v>
      </c>
      <c r="C27" s="250">
        <v>2012</v>
      </c>
      <c r="D27" s="250">
        <v>118</v>
      </c>
      <c r="E27" s="250">
        <v>187</v>
      </c>
      <c r="F27" s="250">
        <v>1874</v>
      </c>
      <c r="G27" s="250">
        <v>1137</v>
      </c>
      <c r="H27" s="250">
        <v>1083</v>
      </c>
      <c r="I27" s="250">
        <v>1059</v>
      </c>
      <c r="J27" s="250">
        <v>1019</v>
      </c>
      <c r="K27" s="264">
        <v>986</v>
      </c>
      <c r="L27" s="264">
        <v>1164.6199999999999</v>
      </c>
    </row>
    <row r="28" spans="1:12" ht="14.25" customHeight="1">
      <c r="A28" s="84" t="s">
        <v>396</v>
      </c>
      <c r="B28" s="250">
        <v>0</v>
      </c>
      <c r="C28" s="250">
        <v>0</v>
      </c>
      <c r="D28" s="250">
        <v>1</v>
      </c>
      <c r="E28" s="250">
        <v>2281</v>
      </c>
      <c r="F28" s="250">
        <v>1527</v>
      </c>
      <c r="G28" s="250">
        <v>1333</v>
      </c>
      <c r="H28" s="250">
        <v>1382</v>
      </c>
      <c r="I28" s="250">
        <v>1361</v>
      </c>
      <c r="J28" s="250">
        <v>1454</v>
      </c>
      <c r="K28" s="264">
        <v>1816</v>
      </c>
      <c r="L28" s="264">
        <v>0</v>
      </c>
    </row>
    <row r="29" spans="1:12" ht="14.25" customHeight="1">
      <c r="A29" s="84" t="s">
        <v>188</v>
      </c>
      <c r="B29" s="250">
        <v>0</v>
      </c>
      <c r="C29" s="250">
        <v>0</v>
      </c>
      <c r="D29" s="250">
        <v>0</v>
      </c>
      <c r="E29" s="250">
        <v>0</v>
      </c>
      <c r="F29" s="250">
        <v>594</v>
      </c>
      <c r="G29" s="250">
        <v>1773</v>
      </c>
      <c r="H29" s="250">
        <v>5626</v>
      </c>
      <c r="I29" s="250">
        <v>7323</v>
      </c>
      <c r="J29" s="250">
        <v>10239</v>
      </c>
      <c r="K29" s="264">
        <v>9896</v>
      </c>
      <c r="L29" s="264">
        <v>7934.72</v>
      </c>
    </row>
    <row r="30" spans="1:12" ht="14.25" customHeight="1">
      <c r="A30" s="85" t="s">
        <v>189</v>
      </c>
      <c r="B30" s="265">
        <f t="shared" ref="B30:L30" si="4">SUM(B25:B29)</f>
        <v>34744</v>
      </c>
      <c r="C30" s="265">
        <f t="shared" si="4"/>
        <v>35349</v>
      </c>
      <c r="D30" s="265">
        <f t="shared" si="4"/>
        <v>44910</v>
      </c>
      <c r="E30" s="265">
        <f t="shared" si="4"/>
        <v>10681</v>
      </c>
      <c r="F30" s="265">
        <f t="shared" si="4"/>
        <v>53347</v>
      </c>
      <c r="G30" s="265">
        <f t="shared" si="4"/>
        <v>46699</v>
      </c>
      <c r="H30" s="265">
        <f t="shared" si="4"/>
        <v>57117</v>
      </c>
      <c r="I30" s="265">
        <f t="shared" si="4"/>
        <v>68182</v>
      </c>
      <c r="J30" s="265">
        <f t="shared" si="4"/>
        <v>79877</v>
      </c>
      <c r="K30" s="267">
        <f t="shared" si="4"/>
        <v>73152</v>
      </c>
      <c r="L30" s="267">
        <f t="shared" si="4"/>
        <v>82528.989999999991</v>
      </c>
    </row>
    <row r="31" spans="1:12" ht="14.25" customHeight="1">
      <c r="A31" s="84" t="s">
        <v>190</v>
      </c>
      <c r="B31" s="268">
        <f t="shared" ref="B31:K31" si="5">ROUND(B30/B6*100,0)</f>
        <v>59</v>
      </c>
      <c r="C31" s="268">
        <f t="shared" si="5"/>
        <v>60</v>
      </c>
      <c r="D31" s="268">
        <f t="shared" si="5"/>
        <v>62</v>
      </c>
      <c r="E31" s="268">
        <f t="shared" si="5"/>
        <v>28</v>
      </c>
      <c r="F31" s="268">
        <f t="shared" si="5"/>
        <v>65</v>
      </c>
      <c r="G31" s="268">
        <f t="shared" si="5"/>
        <v>59</v>
      </c>
      <c r="H31" s="268">
        <f t="shared" si="5"/>
        <v>61</v>
      </c>
      <c r="I31" s="268">
        <f t="shared" si="5"/>
        <v>65</v>
      </c>
      <c r="J31" s="268">
        <f t="shared" si="5"/>
        <v>66</v>
      </c>
      <c r="K31" s="269">
        <f t="shared" si="5"/>
        <v>62</v>
      </c>
      <c r="L31" s="269">
        <v>59.36</v>
      </c>
    </row>
    <row r="32" spans="1:12" ht="14.25" customHeight="1">
      <c r="A32" s="87" t="s">
        <v>191</v>
      </c>
      <c r="B32" s="270">
        <f t="shared" ref="B32:K32" si="6">ROUND(B24/B6*100,0)</f>
        <v>41</v>
      </c>
      <c r="C32" s="270">
        <f t="shared" si="6"/>
        <v>40</v>
      </c>
      <c r="D32" s="270">
        <f t="shared" si="6"/>
        <v>38</v>
      </c>
      <c r="E32" s="270">
        <f t="shared" si="6"/>
        <v>72</v>
      </c>
      <c r="F32" s="270">
        <f t="shared" si="6"/>
        <v>35</v>
      </c>
      <c r="G32" s="270">
        <f t="shared" si="6"/>
        <v>41</v>
      </c>
      <c r="H32" s="270">
        <f t="shared" si="6"/>
        <v>39</v>
      </c>
      <c r="I32" s="270">
        <f t="shared" si="6"/>
        <v>35</v>
      </c>
      <c r="J32" s="270">
        <f t="shared" si="6"/>
        <v>34</v>
      </c>
      <c r="K32" s="271">
        <f t="shared" si="6"/>
        <v>38</v>
      </c>
      <c r="L32" s="271">
        <v>40.64</v>
      </c>
    </row>
    <row r="34" spans="1:2">
      <c r="A34" s="19" t="s">
        <v>336</v>
      </c>
      <c r="B34" s="34" t="s">
        <v>397</v>
      </c>
    </row>
  </sheetData>
  <protectedRanges>
    <protectedRange sqref="A7:K11 A13:K15 A17:K23 A25:K29 A31:K32" name="Range1"/>
  </protectedRanges>
  <mergeCells count="1">
    <mergeCell ref="B1:F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F679D-3435-4E5D-B7DD-FD834C92F989}">
  <dimension ref="A1:L18"/>
  <sheetViews>
    <sheetView showGridLines="0" workbookViewId="0"/>
  </sheetViews>
  <sheetFormatPr defaultRowHeight="14.5"/>
  <cols>
    <col min="1" max="1" width="12.1796875" customWidth="1"/>
  </cols>
  <sheetData>
    <row r="1" spans="1:12">
      <c r="A1" s="20" t="s">
        <v>315</v>
      </c>
      <c r="C1" s="479" t="s">
        <v>310</v>
      </c>
      <c r="D1" s="479"/>
      <c r="E1" s="479"/>
      <c r="F1" s="479"/>
      <c r="G1" s="479"/>
      <c r="H1" s="479"/>
      <c r="I1" s="479"/>
      <c r="K1" s="27" t="str">
        <f>HYPERLINK("#Contents!A4","BACK TO CONTENTS")</f>
        <v>BACK TO CONTENTS</v>
      </c>
    </row>
    <row r="2" spans="1:12">
      <c r="C2" s="20"/>
      <c r="D2" s="20"/>
      <c r="E2" s="20"/>
      <c r="F2" s="20"/>
      <c r="G2" s="20"/>
      <c r="H2" s="20"/>
      <c r="I2" s="20"/>
    </row>
    <row r="3" spans="1:12">
      <c r="A3" s="20" t="s">
        <v>313</v>
      </c>
    </row>
    <row r="4" spans="1:12" ht="15" thickBot="1">
      <c r="A4" s="13"/>
      <c r="B4" s="5">
        <v>2014</v>
      </c>
      <c r="C4" s="5">
        <v>2015</v>
      </c>
      <c r="D4" s="5">
        <v>2016</v>
      </c>
      <c r="E4" s="5">
        <v>2017</v>
      </c>
      <c r="F4" s="5">
        <v>2018</v>
      </c>
      <c r="G4" s="5">
        <v>2019</v>
      </c>
      <c r="H4" s="5">
        <v>2020</v>
      </c>
      <c r="I4" s="14">
        <v>2021</v>
      </c>
      <c r="J4" s="14">
        <v>2022</v>
      </c>
      <c r="K4" s="18">
        <v>2023</v>
      </c>
      <c r="L4" s="18">
        <v>2024</v>
      </c>
    </row>
    <row r="5" spans="1:12" ht="15" thickTop="1">
      <c r="A5" s="16" t="s">
        <v>445</v>
      </c>
      <c r="B5" s="59">
        <f>SUM(B6:B15)</f>
        <v>0</v>
      </c>
      <c r="C5" s="59">
        <f t="shared" ref="C5:L5" si="0">SUM(C6:C15)</f>
        <v>0</v>
      </c>
      <c r="D5" s="59">
        <f t="shared" si="0"/>
        <v>0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379">
        <f t="shared" si="0"/>
        <v>1</v>
      </c>
      <c r="L5" s="59">
        <f t="shared" si="0"/>
        <v>3</v>
      </c>
    </row>
    <row r="6" spans="1:12">
      <c r="A6" s="123" t="s">
        <v>262</v>
      </c>
      <c r="B6" s="464"/>
      <c r="C6" s="464"/>
      <c r="D6" s="464"/>
      <c r="E6" s="464"/>
      <c r="F6" s="464"/>
      <c r="G6" s="464"/>
      <c r="H6" s="464"/>
      <c r="I6" s="464"/>
      <c r="J6" s="464"/>
      <c r="K6" s="124">
        <v>0</v>
      </c>
      <c r="L6" s="124">
        <v>0</v>
      </c>
    </row>
    <row r="7" spans="1:12">
      <c r="A7" s="123" t="s">
        <v>263</v>
      </c>
      <c r="B7" s="464"/>
      <c r="C7" s="464"/>
      <c r="D7" s="464"/>
      <c r="E7" s="464"/>
      <c r="F7" s="464"/>
      <c r="G7" s="464"/>
      <c r="H7" s="464"/>
      <c r="I7" s="464"/>
      <c r="J7" s="464"/>
      <c r="K7" s="124">
        <v>0</v>
      </c>
      <c r="L7" s="124">
        <v>0</v>
      </c>
    </row>
    <row r="8" spans="1:12">
      <c r="A8" s="123" t="s">
        <v>269</v>
      </c>
      <c r="B8" s="464"/>
      <c r="C8" s="464"/>
      <c r="D8" s="464"/>
      <c r="E8" s="464"/>
      <c r="F8" s="464"/>
      <c r="G8" s="464"/>
      <c r="H8" s="464"/>
      <c r="I8" s="464"/>
      <c r="J8" s="464"/>
      <c r="K8" s="124">
        <v>1</v>
      </c>
      <c r="L8" s="124">
        <v>3</v>
      </c>
    </row>
    <row r="9" spans="1:12" ht="30">
      <c r="A9" s="123" t="s">
        <v>271</v>
      </c>
      <c r="B9" s="464"/>
      <c r="C9" s="464"/>
      <c r="D9" s="464"/>
      <c r="E9" s="464"/>
      <c r="F9" s="464"/>
      <c r="G9" s="464"/>
      <c r="H9" s="464"/>
      <c r="I9" s="464"/>
      <c r="J9" s="464"/>
      <c r="K9" s="124">
        <v>0</v>
      </c>
      <c r="L9" s="124">
        <v>0</v>
      </c>
    </row>
    <row r="10" spans="1:12" ht="20">
      <c r="A10" s="123" t="s">
        <v>265</v>
      </c>
      <c r="B10" s="464"/>
      <c r="C10" s="464"/>
      <c r="D10" s="464"/>
      <c r="E10" s="464"/>
      <c r="F10" s="464"/>
      <c r="G10" s="464"/>
      <c r="H10" s="464"/>
      <c r="I10" s="464"/>
      <c r="J10" s="464"/>
      <c r="K10" s="124">
        <v>0</v>
      </c>
      <c r="L10" s="124">
        <v>0</v>
      </c>
    </row>
    <row r="11" spans="1:12">
      <c r="A11" s="123" t="s">
        <v>264</v>
      </c>
      <c r="B11" s="464"/>
      <c r="C11" s="464"/>
      <c r="D11" s="464"/>
      <c r="E11" s="464"/>
      <c r="F11" s="464"/>
      <c r="G11" s="464"/>
      <c r="H11" s="464"/>
      <c r="I11" s="464"/>
      <c r="J11" s="464"/>
      <c r="K11" s="124">
        <v>0</v>
      </c>
      <c r="L11" s="124">
        <v>0</v>
      </c>
    </row>
    <row r="12" spans="1:12">
      <c r="A12" s="123" t="s">
        <v>270</v>
      </c>
      <c r="B12" s="464"/>
      <c r="C12" s="464"/>
      <c r="D12" s="464"/>
      <c r="E12" s="464"/>
      <c r="F12" s="464"/>
      <c r="G12" s="464"/>
      <c r="H12" s="464"/>
      <c r="I12" s="464"/>
      <c r="J12" s="464"/>
      <c r="K12" s="124">
        <v>0</v>
      </c>
      <c r="L12" s="124">
        <v>0</v>
      </c>
    </row>
    <row r="13" spans="1:12">
      <c r="A13" s="123" t="s">
        <v>266</v>
      </c>
      <c r="B13" s="464"/>
      <c r="C13" s="464"/>
      <c r="D13" s="464"/>
      <c r="E13" s="464"/>
      <c r="F13" s="464"/>
      <c r="G13" s="464"/>
      <c r="H13" s="464"/>
      <c r="I13" s="464"/>
      <c r="J13" s="464"/>
      <c r="K13" s="124">
        <v>0</v>
      </c>
      <c r="L13" s="124">
        <v>0</v>
      </c>
    </row>
    <row r="14" spans="1:12" ht="20">
      <c r="A14" s="123" t="s">
        <v>319</v>
      </c>
      <c r="B14" s="466"/>
      <c r="C14" s="466"/>
      <c r="D14" s="466"/>
      <c r="E14" s="466"/>
      <c r="F14" s="466"/>
      <c r="G14" s="466"/>
      <c r="H14" s="466"/>
      <c r="I14" s="466"/>
      <c r="J14" s="466"/>
      <c r="K14" s="124">
        <v>0</v>
      </c>
      <c r="L14" s="124">
        <v>0</v>
      </c>
    </row>
    <row r="15" spans="1:12">
      <c r="A15" s="125" t="s">
        <v>320</v>
      </c>
      <c r="B15" s="465"/>
      <c r="C15" s="465"/>
      <c r="D15" s="465"/>
      <c r="E15" s="465"/>
      <c r="F15" s="465"/>
      <c r="G15" s="465"/>
      <c r="H15" s="465"/>
      <c r="I15" s="465"/>
      <c r="J15" s="465"/>
      <c r="K15" s="127">
        <v>0</v>
      </c>
      <c r="L15" s="127">
        <v>0</v>
      </c>
    </row>
    <row r="17" spans="1:2">
      <c r="A17" s="180" t="s">
        <v>336</v>
      </c>
      <c r="B17" s="34" t="s">
        <v>442</v>
      </c>
    </row>
    <row r="18" spans="1:2">
      <c r="B18" s="453"/>
    </row>
  </sheetData>
  <mergeCells count="1">
    <mergeCell ref="C1:I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605B7-698B-4474-82AA-DE4236196E6E}">
  <dimension ref="A1:L9"/>
  <sheetViews>
    <sheetView showGridLines="0" workbookViewId="0">
      <selection activeCell="J14" sqref="J14"/>
    </sheetView>
  </sheetViews>
  <sheetFormatPr defaultRowHeight="14.5"/>
  <cols>
    <col min="1" max="1" width="16.36328125" customWidth="1"/>
    <col min="2" max="2" width="18.1796875" bestFit="1" customWidth="1"/>
    <col min="5" max="5" width="9.26953125" customWidth="1"/>
    <col min="9" max="9" width="11.453125" bestFit="1" customWidth="1"/>
  </cols>
  <sheetData>
    <row r="1" spans="1:12" ht="34.5" customHeight="1">
      <c r="A1" s="20" t="s">
        <v>339</v>
      </c>
      <c r="B1" s="487" t="s">
        <v>340</v>
      </c>
      <c r="C1" s="487"/>
      <c r="D1" s="487"/>
      <c r="E1" s="487"/>
      <c r="F1" s="489"/>
      <c r="G1" s="489"/>
      <c r="H1" s="489"/>
      <c r="K1" s="27" t="str">
        <f>HYPERLINK("#Contents!A9","BACK TO CONTENTS")</f>
        <v>BACK TO CONTENTS</v>
      </c>
    </row>
    <row r="2" spans="1:12">
      <c r="A2" s="19"/>
      <c r="B2" s="19"/>
      <c r="C2" s="19"/>
      <c r="D2" s="19"/>
      <c r="E2" s="19"/>
    </row>
    <row r="3" spans="1:12">
      <c r="A3" s="20" t="s">
        <v>22</v>
      </c>
      <c r="B3" s="19"/>
      <c r="C3" s="19"/>
      <c r="D3" s="19"/>
      <c r="E3" s="19"/>
    </row>
    <row r="4" spans="1:12" ht="15" thickBot="1">
      <c r="A4" s="33" t="s">
        <v>443</v>
      </c>
      <c r="B4" s="5">
        <v>2013</v>
      </c>
      <c r="C4" s="5">
        <v>2014</v>
      </c>
      <c r="D4" s="5">
        <v>2015</v>
      </c>
      <c r="E4" s="5">
        <v>2016</v>
      </c>
      <c r="F4" s="24">
        <v>2017</v>
      </c>
      <c r="G4" s="24">
        <v>2018</v>
      </c>
      <c r="H4" s="24">
        <v>2019</v>
      </c>
      <c r="I4" s="24">
        <v>2020</v>
      </c>
      <c r="J4" s="24">
        <v>2021</v>
      </c>
      <c r="K4" s="24">
        <v>2022</v>
      </c>
      <c r="L4" s="32">
        <v>2023</v>
      </c>
    </row>
    <row r="5" spans="1:12" ht="15" thickTop="1">
      <c r="A5" s="398" t="s">
        <v>24</v>
      </c>
      <c r="B5" s="467"/>
      <c r="C5" s="467"/>
      <c r="D5" s="467"/>
      <c r="E5" s="467"/>
      <c r="F5" s="396">
        <v>78855</v>
      </c>
      <c r="G5" s="396">
        <v>81819</v>
      </c>
      <c r="H5" s="396">
        <v>88573</v>
      </c>
      <c r="I5" s="396">
        <v>91774</v>
      </c>
      <c r="J5" s="396">
        <v>109977</v>
      </c>
      <c r="K5" s="396">
        <v>117109</v>
      </c>
      <c r="L5" s="399">
        <v>130023</v>
      </c>
    </row>
    <row r="6" spans="1:12">
      <c r="A6" s="25" t="s">
        <v>29</v>
      </c>
      <c r="B6" s="468"/>
      <c r="C6" s="468"/>
      <c r="D6" s="468"/>
      <c r="E6" s="468"/>
      <c r="F6" s="397">
        <v>75298</v>
      </c>
      <c r="G6" s="397">
        <v>80545</v>
      </c>
      <c r="H6" s="397">
        <v>87552</v>
      </c>
      <c r="I6" s="397">
        <v>90800</v>
      </c>
      <c r="J6" s="397">
        <v>108660</v>
      </c>
      <c r="K6" s="397">
        <v>116133</v>
      </c>
      <c r="L6" s="400">
        <v>125442</v>
      </c>
    </row>
    <row r="7" spans="1:12">
      <c r="A7" s="401" t="s">
        <v>88</v>
      </c>
      <c r="B7" s="469"/>
      <c r="C7" s="469"/>
      <c r="D7" s="469"/>
      <c r="E7" s="469"/>
      <c r="F7" s="402">
        <v>3665</v>
      </c>
      <c r="G7" s="402">
        <v>1254</v>
      </c>
      <c r="H7" s="402">
        <v>1012</v>
      </c>
      <c r="I7" s="402">
        <v>1014</v>
      </c>
      <c r="J7" s="402">
        <v>1316</v>
      </c>
      <c r="K7" s="402">
        <v>975</v>
      </c>
      <c r="L7" s="403">
        <v>4580</v>
      </c>
    </row>
    <row r="9" spans="1:12">
      <c r="A9" s="34" t="s">
        <v>336</v>
      </c>
      <c r="B9" s="34" t="s">
        <v>442</v>
      </c>
    </row>
  </sheetData>
  <mergeCells count="1">
    <mergeCell ref="B1:H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FB302-4DE6-48EA-8AEE-36287B1E7CB4}">
  <dimension ref="A1:M24"/>
  <sheetViews>
    <sheetView showGridLines="0" workbookViewId="0">
      <selection activeCell="B23" sqref="B23"/>
    </sheetView>
  </sheetViews>
  <sheetFormatPr defaultRowHeight="14.5"/>
  <cols>
    <col min="1" max="1" width="23.453125" bestFit="1" customWidth="1"/>
    <col min="6" max="6" width="12.54296875" customWidth="1"/>
  </cols>
  <sheetData>
    <row r="1" spans="1:13">
      <c r="A1" s="20" t="s">
        <v>192</v>
      </c>
      <c r="B1" s="479" t="s">
        <v>193</v>
      </c>
      <c r="C1" s="480"/>
      <c r="D1" s="480"/>
      <c r="E1" s="480"/>
      <c r="F1" s="480"/>
      <c r="G1" s="19"/>
      <c r="H1" s="19"/>
      <c r="I1" s="27" t="str">
        <f>HYPERLINK("#Contents!A38","BACK TO CONTENTS")</f>
        <v>BACK TO CONTENTS</v>
      </c>
    </row>
    <row r="2" spans="1:13">
      <c r="A2" s="19"/>
      <c r="B2" s="19"/>
      <c r="C2" s="19"/>
      <c r="D2" s="19"/>
      <c r="E2" s="19"/>
      <c r="F2" s="19"/>
      <c r="G2" s="19"/>
      <c r="H2" s="19"/>
      <c r="I2" s="19"/>
    </row>
    <row r="3" spans="1:13">
      <c r="A3" s="20" t="s">
        <v>164</v>
      </c>
      <c r="B3" s="19"/>
      <c r="C3" s="19"/>
      <c r="D3" s="19"/>
      <c r="E3" s="19"/>
      <c r="F3" s="19"/>
      <c r="G3" s="19"/>
      <c r="H3" s="19"/>
      <c r="I3" s="19"/>
    </row>
    <row r="4" spans="1:13" ht="14.25" customHeight="1" thickBot="1">
      <c r="A4" s="33" t="s">
        <v>446</v>
      </c>
      <c r="B4" s="5">
        <v>2013</v>
      </c>
      <c r="C4" s="5">
        <v>2014</v>
      </c>
      <c r="D4" s="5">
        <v>2015</v>
      </c>
      <c r="E4" s="5">
        <v>2016</v>
      </c>
      <c r="F4" s="24">
        <v>2017</v>
      </c>
      <c r="G4" s="24">
        <v>2018</v>
      </c>
      <c r="H4" s="24">
        <v>2019</v>
      </c>
      <c r="I4" s="24">
        <v>2020</v>
      </c>
      <c r="J4" s="24">
        <v>2021</v>
      </c>
      <c r="K4" s="24">
        <v>2022</v>
      </c>
      <c r="L4" s="32">
        <v>2023</v>
      </c>
      <c r="M4" s="32">
        <v>2024</v>
      </c>
    </row>
    <row r="5" spans="1:13" ht="14.25" customHeight="1" thickTop="1">
      <c r="A5" s="3" t="s">
        <v>16</v>
      </c>
      <c r="B5" s="272">
        <f>B6+B14+B15+B21</f>
        <v>99</v>
      </c>
      <c r="C5" s="272">
        <f>C6+C14+C15+C21</f>
        <v>76</v>
      </c>
      <c r="D5" s="272">
        <f>D6+D14+D15+D21</f>
        <v>62</v>
      </c>
      <c r="E5" s="272">
        <f>E6+E14+E15+E21</f>
        <v>63</v>
      </c>
      <c r="F5" s="272">
        <f t="shared" ref="F5:L5" si="0">F6+F14+F15+F21</f>
        <v>77</v>
      </c>
      <c r="G5" s="243">
        <f>G6+G14+G15+G21</f>
        <v>82</v>
      </c>
      <c r="H5" s="243">
        <f t="shared" si="0"/>
        <v>84</v>
      </c>
      <c r="I5" s="243">
        <f t="shared" si="0"/>
        <v>101</v>
      </c>
      <c r="J5" s="243">
        <f t="shared" si="0"/>
        <v>112</v>
      </c>
      <c r="K5" s="272">
        <f t="shared" si="0"/>
        <v>115</v>
      </c>
      <c r="L5" s="244">
        <f t="shared" si="0"/>
        <v>116</v>
      </c>
      <c r="M5" s="244">
        <f>M6+M14+M15+M21</f>
        <v>118</v>
      </c>
    </row>
    <row r="6" spans="1:13" ht="14.25" customHeight="1">
      <c r="A6" s="8" t="s">
        <v>194</v>
      </c>
      <c r="B6" s="273">
        <f>SUM(B7:B14)</f>
        <v>48</v>
      </c>
      <c r="C6" s="273">
        <f>SUM(C7:C14)</f>
        <v>47</v>
      </c>
      <c r="D6" s="273">
        <f>SUM(D7:D14)</f>
        <v>33</v>
      </c>
      <c r="E6" s="273">
        <f>SUM(E7:E14)</f>
        <v>33</v>
      </c>
      <c r="F6" s="273">
        <f>SUM(F7:F14)</f>
        <v>41</v>
      </c>
      <c r="G6" s="273">
        <f t="shared" ref="G6:L6" si="1">SUM(G7:G13)</f>
        <v>43</v>
      </c>
      <c r="H6" s="273">
        <f t="shared" si="1"/>
        <v>46</v>
      </c>
      <c r="I6" s="273">
        <f t="shared" si="1"/>
        <v>44</v>
      </c>
      <c r="J6" s="273">
        <f t="shared" si="1"/>
        <v>53</v>
      </c>
      <c r="K6" s="273">
        <f t="shared" si="1"/>
        <v>55</v>
      </c>
      <c r="L6" s="274">
        <f t="shared" si="1"/>
        <v>50</v>
      </c>
      <c r="M6" s="274">
        <f>SUM(M7:M13)</f>
        <v>47</v>
      </c>
    </row>
    <row r="7" spans="1:13" ht="14.25" customHeight="1">
      <c r="A7" s="132" t="s">
        <v>195</v>
      </c>
      <c r="B7" s="275">
        <v>14</v>
      </c>
      <c r="C7" s="275">
        <v>12</v>
      </c>
      <c r="D7" s="275">
        <v>14</v>
      </c>
      <c r="E7" s="275">
        <v>14</v>
      </c>
      <c r="F7" s="275">
        <v>14</v>
      </c>
      <c r="G7" s="275">
        <v>22</v>
      </c>
      <c r="H7" s="275">
        <v>21</v>
      </c>
      <c r="I7" s="275">
        <v>19</v>
      </c>
      <c r="J7" s="275">
        <v>21</v>
      </c>
      <c r="K7" s="275">
        <v>22</v>
      </c>
      <c r="L7" s="276">
        <v>19</v>
      </c>
      <c r="M7" s="276">
        <v>20</v>
      </c>
    </row>
    <row r="8" spans="1:13" ht="14.25" customHeight="1">
      <c r="A8" s="132" t="s">
        <v>196</v>
      </c>
      <c r="B8" s="275">
        <v>4</v>
      </c>
      <c r="C8" s="275">
        <v>4</v>
      </c>
      <c r="D8" s="275">
        <v>4</v>
      </c>
      <c r="E8" s="275">
        <v>4</v>
      </c>
      <c r="F8" s="275">
        <v>4</v>
      </c>
      <c r="G8" s="275">
        <v>4</v>
      </c>
      <c r="H8" s="275">
        <v>5</v>
      </c>
      <c r="I8" s="275">
        <v>4</v>
      </c>
      <c r="J8" s="275">
        <v>3</v>
      </c>
      <c r="K8" s="275">
        <v>3</v>
      </c>
      <c r="L8" s="276">
        <v>3</v>
      </c>
      <c r="M8" s="276">
        <v>3</v>
      </c>
    </row>
    <row r="9" spans="1:13" ht="14.25" customHeight="1">
      <c r="A9" s="132" t="s">
        <v>197</v>
      </c>
      <c r="B9" s="275">
        <v>13</v>
      </c>
      <c r="C9" s="275">
        <v>22</v>
      </c>
      <c r="D9" s="275">
        <v>6</v>
      </c>
      <c r="E9" s="275">
        <v>6</v>
      </c>
      <c r="F9" s="275">
        <v>16</v>
      </c>
      <c r="G9" s="275">
        <v>15</v>
      </c>
      <c r="H9" s="275">
        <v>18</v>
      </c>
      <c r="I9" s="275">
        <v>19</v>
      </c>
      <c r="J9" s="275">
        <v>21</v>
      </c>
      <c r="K9" s="275">
        <v>21</v>
      </c>
      <c r="L9" s="276">
        <v>19</v>
      </c>
      <c r="M9" s="276">
        <v>18</v>
      </c>
    </row>
    <row r="10" spans="1:13" ht="24" customHeight="1">
      <c r="A10" s="132" t="s">
        <v>198</v>
      </c>
      <c r="B10" s="275">
        <v>3</v>
      </c>
      <c r="C10" s="275">
        <v>2</v>
      </c>
      <c r="D10" s="275">
        <v>2</v>
      </c>
      <c r="E10" s="275">
        <v>2</v>
      </c>
      <c r="F10" s="275">
        <v>2</v>
      </c>
      <c r="G10" s="275">
        <v>2</v>
      </c>
      <c r="H10" s="275">
        <v>2</v>
      </c>
      <c r="I10" s="275">
        <v>2</v>
      </c>
      <c r="J10" s="275">
        <v>2</v>
      </c>
      <c r="K10" s="275">
        <v>2</v>
      </c>
      <c r="L10" s="276">
        <v>2</v>
      </c>
      <c r="M10" s="276">
        <v>2</v>
      </c>
    </row>
    <row r="11" spans="1:13" ht="14.25" customHeight="1">
      <c r="A11" s="132" t="s">
        <v>199</v>
      </c>
      <c r="B11" s="470"/>
      <c r="C11" s="470"/>
      <c r="D11" s="470"/>
      <c r="E11" s="470"/>
      <c r="F11" s="275">
        <v>0</v>
      </c>
      <c r="G11" s="275">
        <v>0</v>
      </c>
      <c r="H11" s="275">
        <v>0</v>
      </c>
      <c r="I11" s="275">
        <v>0</v>
      </c>
      <c r="J11" s="275">
        <v>1</v>
      </c>
      <c r="K11" s="275">
        <v>2</v>
      </c>
      <c r="L11" s="276">
        <v>2</v>
      </c>
      <c r="M11" s="276">
        <v>2</v>
      </c>
    </row>
    <row r="12" spans="1:13" ht="14.25" customHeight="1">
      <c r="A12" s="132" t="s">
        <v>398</v>
      </c>
      <c r="B12" s="470"/>
      <c r="C12" s="470"/>
      <c r="D12" s="470"/>
      <c r="E12" s="470"/>
      <c r="F12" s="275">
        <v>0</v>
      </c>
      <c r="G12" s="275">
        <v>0</v>
      </c>
      <c r="H12" s="275">
        <v>0</v>
      </c>
      <c r="I12" s="275">
        <v>0</v>
      </c>
      <c r="J12" s="275">
        <v>1</v>
      </c>
      <c r="K12" s="275">
        <v>1</v>
      </c>
      <c r="L12" s="276">
        <v>1</v>
      </c>
      <c r="M12" s="276">
        <v>1</v>
      </c>
    </row>
    <row r="13" spans="1:13" ht="14.25" customHeight="1">
      <c r="A13" s="132" t="s">
        <v>200</v>
      </c>
      <c r="B13" s="470"/>
      <c r="C13" s="470"/>
      <c r="D13" s="470"/>
      <c r="E13" s="470"/>
      <c r="F13" s="275">
        <v>0</v>
      </c>
      <c r="G13" s="275">
        <v>0</v>
      </c>
      <c r="H13" s="275">
        <v>0</v>
      </c>
      <c r="I13" s="275">
        <v>0</v>
      </c>
      <c r="J13" s="275">
        <v>4</v>
      </c>
      <c r="K13" s="275">
        <v>4</v>
      </c>
      <c r="L13" s="276">
        <v>4</v>
      </c>
      <c r="M13" s="276">
        <v>1</v>
      </c>
    </row>
    <row r="14" spans="1:13" ht="14.25" customHeight="1">
      <c r="A14" s="132" t="s">
        <v>201</v>
      </c>
      <c r="B14" s="275">
        <v>14</v>
      </c>
      <c r="C14" s="275">
        <v>7</v>
      </c>
      <c r="D14" s="275">
        <v>7</v>
      </c>
      <c r="E14" s="275">
        <v>7</v>
      </c>
      <c r="F14" s="275">
        <v>5</v>
      </c>
      <c r="G14" s="275">
        <v>5</v>
      </c>
      <c r="H14" s="277">
        <v>4</v>
      </c>
      <c r="I14" s="277">
        <v>2</v>
      </c>
      <c r="J14" s="277">
        <v>1</v>
      </c>
      <c r="K14" s="277">
        <v>1</v>
      </c>
      <c r="L14" s="276">
        <v>1</v>
      </c>
      <c r="M14" s="276">
        <v>1</v>
      </c>
    </row>
    <row r="15" spans="1:13" ht="21" customHeight="1">
      <c r="A15" s="8" t="s">
        <v>202</v>
      </c>
      <c r="B15" s="273">
        <f>SUM(B16:B21)</f>
        <v>37</v>
      </c>
      <c r="C15" s="273">
        <f>SUM(C16:C21)</f>
        <v>22</v>
      </c>
      <c r="D15" s="273">
        <f>SUM(D16:D21)</f>
        <v>22</v>
      </c>
      <c r="E15" s="273">
        <f>SUM(E16:E21)</f>
        <v>23</v>
      </c>
      <c r="F15" s="273">
        <f t="shared" ref="F15:K15" si="2">SUM(F16:F21)</f>
        <v>31</v>
      </c>
      <c r="G15" s="273">
        <f t="shared" si="2"/>
        <v>34</v>
      </c>
      <c r="H15" s="273">
        <f t="shared" si="2"/>
        <v>34</v>
      </c>
      <c r="I15" s="273">
        <f t="shared" si="2"/>
        <v>55</v>
      </c>
      <c r="J15" s="273">
        <f t="shared" si="2"/>
        <v>58</v>
      </c>
      <c r="K15" s="273">
        <f t="shared" si="2"/>
        <v>59</v>
      </c>
      <c r="L15" s="278">
        <f>SUM(L16:L20)</f>
        <v>63</v>
      </c>
      <c r="M15" s="278">
        <f>SUM(M16:M20)</f>
        <v>66</v>
      </c>
    </row>
    <row r="16" spans="1:13" ht="14.25" customHeight="1">
      <c r="A16" s="132" t="s">
        <v>203</v>
      </c>
      <c r="B16" s="275">
        <v>2</v>
      </c>
      <c r="C16" s="275">
        <v>2</v>
      </c>
      <c r="D16" s="275">
        <v>2</v>
      </c>
      <c r="E16" s="275">
        <v>2</v>
      </c>
      <c r="F16" s="275">
        <v>2</v>
      </c>
      <c r="G16" s="275">
        <v>3</v>
      </c>
      <c r="H16" s="275">
        <v>3</v>
      </c>
      <c r="I16" s="275">
        <v>3</v>
      </c>
      <c r="J16" s="275">
        <v>3</v>
      </c>
      <c r="K16" s="275">
        <v>3</v>
      </c>
      <c r="L16" s="276">
        <v>3</v>
      </c>
      <c r="M16" s="276">
        <v>3</v>
      </c>
    </row>
    <row r="17" spans="1:13" ht="14.25" customHeight="1">
      <c r="A17" s="132" t="s">
        <v>204</v>
      </c>
      <c r="B17" s="275">
        <v>3</v>
      </c>
      <c r="C17" s="275">
        <v>3</v>
      </c>
      <c r="D17" s="275">
        <v>3</v>
      </c>
      <c r="E17" s="275">
        <v>3</v>
      </c>
      <c r="F17" s="275">
        <v>3</v>
      </c>
      <c r="G17" s="275">
        <v>3</v>
      </c>
      <c r="H17" s="275">
        <v>3</v>
      </c>
      <c r="I17" s="275">
        <v>3</v>
      </c>
      <c r="J17" s="275">
        <v>3</v>
      </c>
      <c r="K17" s="275">
        <v>3</v>
      </c>
      <c r="L17" s="276">
        <v>3</v>
      </c>
      <c r="M17" s="276">
        <v>3</v>
      </c>
    </row>
    <row r="18" spans="1:13" ht="14.25" customHeight="1">
      <c r="A18" s="132" t="s">
        <v>205</v>
      </c>
      <c r="B18" s="275">
        <v>7</v>
      </c>
      <c r="C18" s="275"/>
      <c r="D18" s="275"/>
      <c r="E18" s="275"/>
      <c r="F18" s="275">
        <v>7</v>
      </c>
      <c r="G18" s="275">
        <v>7</v>
      </c>
      <c r="H18" s="275">
        <v>7</v>
      </c>
      <c r="I18" s="275">
        <v>8</v>
      </c>
      <c r="J18" s="275">
        <v>10</v>
      </c>
      <c r="K18" s="275">
        <v>9</v>
      </c>
      <c r="L18" s="276">
        <v>9</v>
      </c>
      <c r="M18" s="276">
        <v>9</v>
      </c>
    </row>
    <row r="19" spans="1:13" ht="14.25" customHeight="1">
      <c r="A19" s="132" t="s">
        <v>206</v>
      </c>
      <c r="B19" s="275">
        <v>25</v>
      </c>
      <c r="C19" s="275">
        <v>16</v>
      </c>
      <c r="D19" s="275">
        <v>17</v>
      </c>
      <c r="E19" s="275">
        <v>17</v>
      </c>
      <c r="F19" s="275">
        <v>17</v>
      </c>
      <c r="G19" s="275">
        <v>19</v>
      </c>
      <c r="H19" s="275">
        <v>17</v>
      </c>
      <c r="I19" s="275">
        <v>39</v>
      </c>
      <c r="J19" s="275">
        <v>41</v>
      </c>
      <c r="K19" s="275">
        <v>42</v>
      </c>
      <c r="L19" s="276">
        <v>46</v>
      </c>
      <c r="M19" s="276">
        <v>49</v>
      </c>
    </row>
    <row r="20" spans="1:13" ht="14.25" customHeight="1">
      <c r="A20" s="132" t="s">
        <v>207</v>
      </c>
      <c r="B20" s="275">
        <v>0</v>
      </c>
      <c r="C20" s="275">
        <v>1</v>
      </c>
      <c r="D20" s="275">
        <v>0</v>
      </c>
      <c r="E20" s="275">
        <v>1</v>
      </c>
      <c r="F20" s="275">
        <v>2</v>
      </c>
      <c r="G20" s="275">
        <v>2</v>
      </c>
      <c r="H20" s="275">
        <v>4</v>
      </c>
      <c r="I20" s="275">
        <v>2</v>
      </c>
      <c r="J20" s="275">
        <v>1</v>
      </c>
      <c r="K20" s="275">
        <v>2</v>
      </c>
      <c r="L20" s="276">
        <v>2</v>
      </c>
      <c r="M20" s="276">
        <v>2</v>
      </c>
    </row>
    <row r="21" spans="1:13" ht="14.25" customHeight="1">
      <c r="A21" s="134" t="s">
        <v>208</v>
      </c>
      <c r="B21" s="279">
        <v>0</v>
      </c>
      <c r="C21" s="279">
        <v>0</v>
      </c>
      <c r="D21" s="279">
        <v>0</v>
      </c>
      <c r="E21" s="279">
        <v>0</v>
      </c>
      <c r="F21" s="279">
        <v>0</v>
      </c>
      <c r="G21" s="279">
        <v>0</v>
      </c>
      <c r="H21" s="279">
        <v>0</v>
      </c>
      <c r="I21" s="279">
        <v>0</v>
      </c>
      <c r="J21" s="279">
        <v>0</v>
      </c>
      <c r="K21" s="279">
        <v>0</v>
      </c>
      <c r="L21" s="280">
        <v>2</v>
      </c>
      <c r="M21" s="280">
        <v>4</v>
      </c>
    </row>
    <row r="22" spans="1:13" ht="14.25" customHeight="1">
      <c r="A22" s="418"/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</row>
    <row r="23" spans="1:13">
      <c r="A23" s="418" t="s">
        <v>336</v>
      </c>
      <c r="B23" s="34" t="s">
        <v>442</v>
      </c>
    </row>
    <row r="24" spans="1:13">
      <c r="A24" s="418" t="s">
        <v>338</v>
      </c>
      <c r="B24" s="181" t="s">
        <v>399</v>
      </c>
    </row>
  </sheetData>
  <protectedRanges>
    <protectedRange sqref="A7:L14 A16:L22" name="Range1"/>
  </protectedRanges>
  <mergeCells count="1">
    <mergeCell ref="B1:F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68E09-F066-421C-97A2-209DB1651FD1}">
  <dimension ref="A1:N31"/>
  <sheetViews>
    <sheetView showGridLines="0" zoomScaleNormal="100" workbookViewId="0">
      <selection activeCell="N15" sqref="N15"/>
    </sheetView>
  </sheetViews>
  <sheetFormatPr defaultRowHeight="14.5"/>
  <cols>
    <col min="1" max="1" width="32" bestFit="1" customWidth="1"/>
  </cols>
  <sheetData>
    <row r="1" spans="1:14">
      <c r="A1" s="20" t="s">
        <v>209</v>
      </c>
      <c r="B1" s="478" t="s">
        <v>447</v>
      </c>
      <c r="C1" s="478"/>
      <c r="D1" s="478"/>
      <c r="E1" s="478"/>
      <c r="F1" s="478"/>
      <c r="G1" s="478"/>
      <c r="H1" s="478"/>
      <c r="I1" s="478"/>
      <c r="J1" s="478"/>
      <c r="K1" s="478"/>
    </row>
    <row r="2" spans="1:14">
      <c r="A2" s="19"/>
      <c r="B2" s="19"/>
      <c r="C2" s="19"/>
      <c r="D2" s="19"/>
      <c r="E2" s="19"/>
      <c r="F2" s="19"/>
      <c r="G2" s="19"/>
      <c r="N2" s="27" t="str">
        <f>HYPERLINK("#Contents!A4","BACK TO CONTENTS")</f>
        <v>BACK TO CONTENTS</v>
      </c>
    </row>
    <row r="3" spans="1:14">
      <c r="A3" s="69" t="s">
        <v>22</v>
      </c>
      <c r="B3" s="70"/>
      <c r="C3" s="71"/>
      <c r="D3" s="71"/>
      <c r="E3" s="71"/>
      <c r="F3" s="70"/>
      <c r="G3" s="70"/>
    </row>
    <row r="4" spans="1:14" ht="14.25" customHeight="1" thickBot="1">
      <c r="A4" s="172" t="s">
        <v>18</v>
      </c>
      <c r="B4" s="5">
        <v>2013</v>
      </c>
      <c r="C4" s="5">
        <v>2014</v>
      </c>
      <c r="D4" s="5">
        <v>2015</v>
      </c>
      <c r="E4" s="5">
        <v>2016</v>
      </c>
      <c r="F4" s="173">
        <v>2017</v>
      </c>
      <c r="G4" s="173">
        <v>2018</v>
      </c>
      <c r="H4" s="173">
        <v>2019</v>
      </c>
      <c r="I4" s="173">
        <v>2020</v>
      </c>
      <c r="J4" s="173">
        <v>2021</v>
      </c>
      <c r="K4" s="173">
        <v>2022</v>
      </c>
      <c r="L4" s="381">
        <v>2023</v>
      </c>
    </row>
    <row r="5" spans="1:14" ht="14.25" customHeight="1" thickTop="1">
      <c r="A5" s="174" t="s">
        <v>24</v>
      </c>
      <c r="B5" s="281">
        <f>SUM(B6:B12)</f>
        <v>7698</v>
      </c>
      <c r="C5" s="281">
        <f t="shared" ref="C5:L5" si="0">SUM(C6:C12)</f>
        <v>8022</v>
      </c>
      <c r="D5" s="281">
        <f t="shared" si="0"/>
        <v>6266</v>
      </c>
      <c r="E5" s="281">
        <f t="shared" si="0"/>
        <v>5520</v>
      </c>
      <c r="F5" s="281">
        <f t="shared" si="0"/>
        <v>6392</v>
      </c>
      <c r="G5" s="281">
        <f t="shared" si="0"/>
        <v>6326</v>
      </c>
      <c r="H5" s="281">
        <f t="shared" si="0"/>
        <v>1694</v>
      </c>
      <c r="I5" s="281">
        <f t="shared" si="0"/>
        <v>843</v>
      </c>
      <c r="J5" s="281">
        <f t="shared" si="0"/>
        <v>796</v>
      </c>
      <c r="K5" s="281">
        <f t="shared" si="0"/>
        <v>895</v>
      </c>
      <c r="L5" s="382">
        <f t="shared" si="0"/>
        <v>920.99999999999989</v>
      </c>
    </row>
    <row r="6" spans="1:14" ht="14.25" customHeight="1">
      <c r="A6" s="175" t="s">
        <v>196</v>
      </c>
      <c r="B6" s="283">
        <f>'5.15'!B10</f>
        <v>54</v>
      </c>
      <c r="C6" s="283">
        <f>'5.15'!C10</f>
        <v>59</v>
      </c>
      <c r="D6" s="283">
        <f>'5.15'!D10</f>
        <v>137</v>
      </c>
      <c r="E6" s="283">
        <f>'5.15'!E10</f>
        <v>76</v>
      </c>
      <c r="F6" s="283">
        <f>'5.15'!F10</f>
        <v>59</v>
      </c>
      <c r="G6" s="283">
        <f>'5.15'!G10</f>
        <v>40</v>
      </c>
      <c r="H6" s="283">
        <f>'5.15'!H10</f>
        <v>5</v>
      </c>
      <c r="I6" s="283">
        <f>'5.15'!I10</f>
        <v>38</v>
      </c>
      <c r="J6" s="283">
        <f>'5.15'!J10</f>
        <v>38</v>
      </c>
      <c r="K6" s="283">
        <f>'5.15'!K10</f>
        <v>46</v>
      </c>
      <c r="L6" s="383">
        <v>72.7</v>
      </c>
    </row>
    <row r="7" spans="1:14" ht="14.25" customHeight="1">
      <c r="A7" s="175" t="s">
        <v>195</v>
      </c>
      <c r="B7" s="283">
        <f>'5.12'!B10</f>
        <v>7529</v>
      </c>
      <c r="C7" s="283">
        <f>'5.12'!C10</f>
        <v>7849</v>
      </c>
      <c r="D7" s="283">
        <f>'5.12'!D10</f>
        <v>5971</v>
      </c>
      <c r="E7" s="283">
        <f>'5.12'!E10</f>
        <v>5270</v>
      </c>
      <c r="F7" s="283">
        <f>'5.12'!F10</f>
        <v>6142</v>
      </c>
      <c r="G7" s="283">
        <f>'5.12'!G10</f>
        <v>6072</v>
      </c>
      <c r="H7" s="283">
        <f>'5.12'!H10</f>
        <v>1213</v>
      </c>
      <c r="I7" s="283">
        <f>'5.12'!I10</f>
        <v>524</v>
      </c>
      <c r="J7" s="283">
        <f>'5.12'!J10</f>
        <v>405</v>
      </c>
      <c r="K7" s="283">
        <f>'5.12'!K10</f>
        <v>571</v>
      </c>
      <c r="L7" s="383">
        <v>541.6</v>
      </c>
      <c r="N7" s="370"/>
    </row>
    <row r="8" spans="1:14" ht="14.25" customHeight="1">
      <c r="A8" s="175" t="s">
        <v>205</v>
      </c>
      <c r="B8" s="283">
        <f>'5.13'!B10</f>
        <v>72</v>
      </c>
      <c r="C8" s="283">
        <f>'5.13'!C10</f>
        <v>58</v>
      </c>
      <c r="D8" s="283">
        <f>'5.13'!D10</f>
        <v>81</v>
      </c>
      <c r="E8" s="283">
        <f>'5.13'!E10</f>
        <v>83</v>
      </c>
      <c r="F8" s="283">
        <f>'5.13'!F10</f>
        <v>78</v>
      </c>
      <c r="G8" s="283">
        <f>'5.13'!G10</f>
        <v>95</v>
      </c>
      <c r="H8" s="283">
        <f>'5.13'!H10</f>
        <v>239</v>
      </c>
      <c r="I8" s="283">
        <f>'5.13'!I10</f>
        <v>45</v>
      </c>
      <c r="J8" s="283">
        <f>'5.13'!J10</f>
        <v>42</v>
      </c>
      <c r="K8" s="283">
        <f>'5.13'!K10</f>
        <v>49</v>
      </c>
      <c r="L8" s="383">
        <v>74.8</v>
      </c>
    </row>
    <row r="9" spans="1:14" ht="14.25" customHeight="1">
      <c r="A9" s="175" t="s">
        <v>211</v>
      </c>
      <c r="B9" s="283">
        <f>'5.11'!B10</f>
        <v>43</v>
      </c>
      <c r="C9" s="283">
        <f>'5.11'!C10</f>
        <v>56</v>
      </c>
      <c r="D9" s="283">
        <f>'5.11'!D10</f>
        <v>77</v>
      </c>
      <c r="E9" s="283">
        <f>'5.11'!E10</f>
        <v>91</v>
      </c>
      <c r="F9" s="283">
        <f>'5.11'!F10</f>
        <v>103</v>
      </c>
      <c r="G9" s="283">
        <f>'5.11'!G10</f>
        <v>107</v>
      </c>
      <c r="H9" s="283">
        <f>'5.11'!H10</f>
        <v>120</v>
      </c>
      <c r="I9" s="283">
        <f>'5.11'!I10</f>
        <v>123</v>
      </c>
      <c r="J9" s="283">
        <f>'5.11'!J10</f>
        <v>136</v>
      </c>
      <c r="K9" s="283">
        <f>'5.11'!K10</f>
        <v>150</v>
      </c>
      <c r="L9" s="383">
        <v>173.9</v>
      </c>
    </row>
    <row r="10" spans="1:14" ht="14.25" customHeight="1">
      <c r="A10" s="9" t="s">
        <v>197</v>
      </c>
      <c r="B10" s="283">
        <f>'5.14'!B10</f>
        <v>0</v>
      </c>
      <c r="C10" s="283">
        <f>'5.14'!C10</f>
        <v>0</v>
      </c>
      <c r="D10" s="283">
        <f>'5.14'!D10</f>
        <v>0</v>
      </c>
      <c r="E10" s="283">
        <f>'5.14'!E10</f>
        <v>0</v>
      </c>
      <c r="F10" s="283">
        <f>'5.14'!F10</f>
        <v>0</v>
      </c>
      <c r="G10" s="283">
        <f>'5.14'!G10</f>
        <v>0</v>
      </c>
      <c r="H10" s="283">
        <f>'5.14'!H10</f>
        <v>47</v>
      </c>
      <c r="I10" s="283">
        <f>'5.14'!I10</f>
        <v>44</v>
      </c>
      <c r="J10" s="283">
        <f>'5.14'!J10</f>
        <v>96</v>
      </c>
      <c r="K10" s="283">
        <f>'5.14'!K10</f>
        <v>48</v>
      </c>
      <c r="L10" s="383">
        <v>50.8</v>
      </c>
    </row>
    <row r="11" spans="1:14" ht="14.25" customHeight="1">
      <c r="A11" s="9" t="s">
        <v>284</v>
      </c>
      <c r="B11" s="283">
        <f>'5.16'!B10</f>
        <v>0</v>
      </c>
      <c r="C11" s="283">
        <f>'5.16'!C10</f>
        <v>0</v>
      </c>
      <c r="D11" s="283">
        <f>'5.16'!D10</f>
        <v>0</v>
      </c>
      <c r="E11" s="283">
        <f>'5.16'!E10</f>
        <v>0</v>
      </c>
      <c r="F11" s="283">
        <f>'5.16'!F10</f>
        <v>10</v>
      </c>
      <c r="G11" s="283">
        <f>'5.16'!G10</f>
        <v>12</v>
      </c>
      <c r="H11" s="283">
        <f>'5.16'!H10</f>
        <v>70</v>
      </c>
      <c r="I11" s="283">
        <f>'5.16'!I10</f>
        <v>69</v>
      </c>
      <c r="J11" s="283">
        <f>'5.16'!J10</f>
        <v>69</v>
      </c>
      <c r="K11" s="283">
        <f>'5.16'!K10</f>
        <v>23</v>
      </c>
      <c r="L11" s="383">
        <v>3.8</v>
      </c>
    </row>
    <row r="12" spans="1:14" ht="14.25" customHeight="1">
      <c r="A12" s="9" t="s">
        <v>200</v>
      </c>
      <c r="B12" s="283">
        <f>'5.17'!B10</f>
        <v>0</v>
      </c>
      <c r="C12" s="283">
        <f>'5.17'!C10</f>
        <v>0</v>
      </c>
      <c r="D12" s="283">
        <f>'5.17'!D10</f>
        <v>0</v>
      </c>
      <c r="E12" s="283">
        <f>'5.17'!E10</f>
        <v>0</v>
      </c>
      <c r="F12" s="283">
        <f>'5.17'!F10</f>
        <v>0</v>
      </c>
      <c r="G12" s="283">
        <f>'5.17'!G10</f>
        <v>0</v>
      </c>
      <c r="H12" s="283">
        <f>'5.17'!H10</f>
        <v>0</v>
      </c>
      <c r="I12" s="283">
        <f>'5.17'!I10</f>
        <v>0</v>
      </c>
      <c r="J12" s="283">
        <f>'5.17'!J10</f>
        <v>10</v>
      </c>
      <c r="K12" s="283">
        <f>'5.17'!K10</f>
        <v>8</v>
      </c>
      <c r="L12" s="383">
        <v>3.4</v>
      </c>
    </row>
    <row r="13" spans="1:14" ht="14.25" customHeight="1">
      <c r="A13" s="174" t="s">
        <v>26</v>
      </c>
      <c r="B13" s="281">
        <f>SUM(B14:B20)</f>
        <v>343</v>
      </c>
      <c r="C13" s="281">
        <f t="shared" ref="C13:K13" si="1">SUM(C14:C20)</f>
        <v>360</v>
      </c>
      <c r="D13" s="281">
        <f t="shared" si="1"/>
        <v>397</v>
      </c>
      <c r="E13" s="281">
        <f t="shared" si="1"/>
        <v>396</v>
      </c>
      <c r="F13" s="281">
        <f t="shared" si="1"/>
        <v>485</v>
      </c>
      <c r="G13" s="281">
        <f t="shared" si="1"/>
        <v>497</v>
      </c>
      <c r="H13" s="281">
        <f t="shared" si="1"/>
        <v>500</v>
      </c>
      <c r="I13" s="281">
        <f t="shared" si="1"/>
        <v>465</v>
      </c>
      <c r="J13" s="281">
        <f t="shared" si="1"/>
        <v>486</v>
      </c>
      <c r="K13" s="281">
        <f t="shared" si="1"/>
        <v>464</v>
      </c>
      <c r="L13" s="382">
        <f>SUM(L14:L20)</f>
        <v>475.524</v>
      </c>
      <c r="N13" s="370"/>
    </row>
    <row r="14" spans="1:14" ht="14.25" customHeight="1">
      <c r="A14" s="175" t="s">
        <v>196</v>
      </c>
      <c r="B14" s="283">
        <f>'5.15'!B11</f>
        <v>14</v>
      </c>
      <c r="C14" s="283">
        <f>'5.15'!C11</f>
        <v>22</v>
      </c>
      <c r="D14" s="283">
        <f>'5.15'!D11</f>
        <v>22</v>
      </c>
      <c r="E14" s="283">
        <f>'5.15'!E11</f>
        <v>31</v>
      </c>
      <c r="F14" s="283">
        <f>'5.15'!F11</f>
        <v>27</v>
      </c>
      <c r="G14" s="283">
        <f>'5.15'!G11</f>
        <v>21</v>
      </c>
      <c r="H14" s="283">
        <f>'5.15'!H11</f>
        <v>20</v>
      </c>
      <c r="I14" s="283">
        <f>'5.15'!I11</f>
        <v>14</v>
      </c>
      <c r="J14" s="283">
        <f>'5.15'!J11</f>
        <v>9</v>
      </c>
      <c r="K14" s="283">
        <f>'5.15'!K11</f>
        <v>17</v>
      </c>
      <c r="L14" s="383">
        <v>36.1</v>
      </c>
    </row>
    <row r="15" spans="1:14" ht="14.25" customHeight="1">
      <c r="A15" s="175" t="s">
        <v>195</v>
      </c>
      <c r="B15" s="283">
        <f>'5.12'!B11</f>
        <v>258</v>
      </c>
      <c r="C15" s="283">
        <f>'5.12'!C11</f>
        <v>249</v>
      </c>
      <c r="D15" s="283">
        <f>'5.12'!D11</f>
        <v>267</v>
      </c>
      <c r="E15" s="283">
        <f>'5.12'!E11</f>
        <v>236</v>
      </c>
      <c r="F15" s="283">
        <f>'5.12'!F11</f>
        <v>332</v>
      </c>
      <c r="G15" s="283">
        <f>'5.12'!G11</f>
        <v>352</v>
      </c>
      <c r="H15" s="283">
        <f>'5.12'!H11</f>
        <v>305</v>
      </c>
      <c r="I15" s="283">
        <f>'5.12'!I11</f>
        <v>262</v>
      </c>
      <c r="J15" s="283">
        <f>'5.12'!J11</f>
        <v>256</v>
      </c>
      <c r="K15" s="283">
        <f>'5.12'!K11</f>
        <v>256</v>
      </c>
      <c r="L15" s="383">
        <v>236.7</v>
      </c>
    </row>
    <row r="16" spans="1:14" ht="14.25" customHeight="1">
      <c r="A16" s="175" t="s">
        <v>205</v>
      </c>
      <c r="B16" s="283">
        <f>'5.13'!B11</f>
        <v>35</v>
      </c>
      <c r="C16" s="283">
        <f>'5.13'!C11</f>
        <v>38</v>
      </c>
      <c r="D16" s="283">
        <f>'5.13'!D11</f>
        <v>38</v>
      </c>
      <c r="E16" s="283">
        <f>'5.13'!E11</f>
        <v>45</v>
      </c>
      <c r="F16" s="283">
        <f>'5.13'!F11</f>
        <v>26</v>
      </c>
      <c r="G16" s="283">
        <f>'5.13'!G11</f>
        <v>33</v>
      </c>
      <c r="H16" s="283">
        <f>'5.13'!H11</f>
        <v>32</v>
      </c>
      <c r="I16" s="283">
        <f>'5.13'!I11</f>
        <v>35</v>
      </c>
      <c r="J16" s="283">
        <f>'5.13'!J11</f>
        <v>28</v>
      </c>
      <c r="K16" s="283">
        <f>'5.13'!K11</f>
        <v>29</v>
      </c>
      <c r="L16" s="383">
        <v>33.5</v>
      </c>
    </row>
    <row r="17" spans="1:12" ht="14.25" customHeight="1">
      <c r="A17" s="175" t="s">
        <v>211</v>
      </c>
      <c r="B17" s="283">
        <f>'5.11'!B11</f>
        <v>36</v>
      </c>
      <c r="C17" s="283">
        <f>'5.11'!C11</f>
        <v>51</v>
      </c>
      <c r="D17" s="283">
        <f>'5.11'!D11</f>
        <v>70</v>
      </c>
      <c r="E17" s="283">
        <f>'5.11'!E11</f>
        <v>84</v>
      </c>
      <c r="F17" s="283">
        <f>'5.11'!F11</f>
        <v>94</v>
      </c>
      <c r="G17" s="283">
        <f>'5.11'!G11</f>
        <v>85</v>
      </c>
      <c r="H17" s="283">
        <f>'5.11'!H11</f>
        <v>91</v>
      </c>
      <c r="I17" s="283">
        <f>'5.11'!I11</f>
        <v>99</v>
      </c>
      <c r="J17" s="283">
        <f>'5.11'!J11</f>
        <v>112</v>
      </c>
      <c r="K17" s="283">
        <f>'5.11'!K11</f>
        <v>121</v>
      </c>
      <c r="L17" s="383">
        <v>145.6</v>
      </c>
    </row>
    <row r="18" spans="1:12" ht="14.25" customHeight="1">
      <c r="A18" s="9" t="s">
        <v>197</v>
      </c>
      <c r="B18" s="283">
        <f>'5.14'!B11</f>
        <v>0</v>
      </c>
      <c r="C18" s="283">
        <f>'5.14'!C11</f>
        <v>0</v>
      </c>
      <c r="D18" s="283">
        <f>'5.14'!D11</f>
        <v>0</v>
      </c>
      <c r="E18" s="283">
        <f>'5.14'!E11</f>
        <v>0</v>
      </c>
      <c r="F18" s="283">
        <f>'5.14'!F11</f>
        <v>0</v>
      </c>
      <c r="G18" s="283">
        <f>'5.14'!G11</f>
        <v>0</v>
      </c>
      <c r="H18" s="283">
        <f>'5.14'!H11</f>
        <v>16</v>
      </c>
      <c r="I18" s="283">
        <f>'5.14'!I11</f>
        <v>23</v>
      </c>
      <c r="J18" s="283">
        <f>'5.14'!J11</f>
        <v>48</v>
      </c>
      <c r="K18" s="283">
        <f>'5.14'!K11</f>
        <v>23</v>
      </c>
      <c r="L18" s="383">
        <v>28.5</v>
      </c>
    </row>
    <row r="19" spans="1:12" ht="14.25" customHeight="1">
      <c r="A19" s="9" t="s">
        <v>284</v>
      </c>
      <c r="B19" s="283">
        <f>'5.16'!B11</f>
        <v>0</v>
      </c>
      <c r="C19" s="283">
        <f>'5.16'!C11</f>
        <v>0</v>
      </c>
      <c r="D19" s="283">
        <f>'5.16'!D11</f>
        <v>0</v>
      </c>
      <c r="E19" s="283">
        <f>'5.16'!E11</f>
        <v>0</v>
      </c>
      <c r="F19" s="283">
        <f>'5.16'!F11</f>
        <v>6</v>
      </c>
      <c r="G19" s="283">
        <f>'5.16'!G11</f>
        <v>6</v>
      </c>
      <c r="H19" s="283">
        <f>'5.16'!H11</f>
        <v>36</v>
      </c>
      <c r="I19" s="283">
        <f>'5.16'!I11</f>
        <v>32</v>
      </c>
      <c r="J19" s="283">
        <f>'5.16'!J11</f>
        <v>32</v>
      </c>
      <c r="K19" s="283">
        <f>'5.16'!K11</f>
        <v>15</v>
      </c>
      <c r="L19" s="383">
        <v>-5.4</v>
      </c>
    </row>
    <row r="20" spans="1:12" ht="14.25" customHeight="1">
      <c r="A20" s="9" t="s">
        <v>200</v>
      </c>
      <c r="B20" s="283">
        <f>'5.17'!B11</f>
        <v>0</v>
      </c>
      <c r="C20" s="283">
        <f>'5.17'!C11</f>
        <v>0</v>
      </c>
      <c r="D20" s="283">
        <f>'5.17'!D11</f>
        <v>0</v>
      </c>
      <c r="E20" s="283">
        <f>'5.17'!E11</f>
        <v>0</v>
      </c>
      <c r="F20" s="283">
        <f>'5.17'!F11</f>
        <v>0</v>
      </c>
      <c r="G20" s="283">
        <f>'5.17'!G11</f>
        <v>0</v>
      </c>
      <c r="H20" s="283">
        <f>'5.17'!H11</f>
        <v>0</v>
      </c>
      <c r="I20" s="283">
        <f>'5.17'!I11</f>
        <v>0</v>
      </c>
      <c r="J20" s="283">
        <f>'5.17'!J11</f>
        <v>1</v>
      </c>
      <c r="K20" s="283">
        <f>'5.17'!K11</f>
        <v>3</v>
      </c>
      <c r="L20" s="383">
        <v>0.52400000000000002</v>
      </c>
    </row>
    <row r="21" spans="1:12" ht="14.25" customHeight="1">
      <c r="A21" s="174" t="s">
        <v>29</v>
      </c>
      <c r="B21" s="281">
        <f>SUM(B22:B28)</f>
        <v>7354</v>
      </c>
      <c r="C21" s="281">
        <f t="shared" ref="C21:K21" si="2">SUM(C22:C28)</f>
        <v>7662</v>
      </c>
      <c r="D21" s="281">
        <f t="shared" si="2"/>
        <v>5869</v>
      </c>
      <c r="E21" s="281">
        <f t="shared" si="2"/>
        <v>5125</v>
      </c>
      <c r="F21" s="281">
        <f t="shared" si="2"/>
        <v>5907</v>
      </c>
      <c r="G21" s="281">
        <f t="shared" si="2"/>
        <v>5830</v>
      </c>
      <c r="H21" s="281">
        <f t="shared" si="2"/>
        <v>1206</v>
      </c>
      <c r="I21" s="281">
        <f t="shared" si="2"/>
        <v>346</v>
      </c>
      <c r="J21" s="281">
        <f t="shared" si="2"/>
        <v>276</v>
      </c>
      <c r="K21" s="281">
        <f t="shared" si="2"/>
        <v>437</v>
      </c>
      <c r="L21" s="382">
        <f>SUM(L22:L28)</f>
        <v>445.4</v>
      </c>
    </row>
    <row r="22" spans="1:12" ht="14.25" customHeight="1">
      <c r="A22" s="175" t="s">
        <v>196</v>
      </c>
      <c r="B22" s="283">
        <f>'5.15'!B12</f>
        <v>40</v>
      </c>
      <c r="C22" s="283">
        <f>'5.15'!C12</f>
        <v>38</v>
      </c>
      <c r="D22" s="283">
        <f>'5.15'!D12</f>
        <v>115</v>
      </c>
      <c r="E22" s="283">
        <f>'5.15'!E12</f>
        <v>45</v>
      </c>
      <c r="F22" s="283">
        <f>'5.15'!F12</f>
        <v>32</v>
      </c>
      <c r="G22" s="283">
        <f>'5.15'!G12</f>
        <v>18</v>
      </c>
      <c r="H22" s="283">
        <f>'5.15'!H12</f>
        <v>25</v>
      </c>
      <c r="I22" s="283">
        <f>'5.15'!I12</f>
        <v>24</v>
      </c>
      <c r="J22" s="283">
        <f>'5.15'!J12</f>
        <v>30</v>
      </c>
      <c r="K22" s="283">
        <f>'5.15'!K12</f>
        <v>29</v>
      </c>
      <c r="L22" s="383">
        <v>36.6</v>
      </c>
    </row>
    <row r="23" spans="1:12" ht="14.25" customHeight="1">
      <c r="A23" s="175" t="s">
        <v>195</v>
      </c>
      <c r="B23" s="283">
        <f>'5.12'!B12</f>
        <v>7271</v>
      </c>
      <c r="C23" s="283">
        <f>'5.12'!C12</f>
        <v>7600</v>
      </c>
      <c r="D23" s="283">
        <f>'5.12'!D12</f>
        <v>5704</v>
      </c>
      <c r="E23" s="283">
        <f>'5.12'!E12</f>
        <v>5034</v>
      </c>
      <c r="F23" s="283">
        <f>'5.12'!F12</f>
        <v>5810</v>
      </c>
      <c r="G23" s="283">
        <f>'5.12'!G12</f>
        <v>5720</v>
      </c>
      <c r="H23" s="283">
        <f>'5.12'!H12</f>
        <v>913</v>
      </c>
      <c r="I23" s="283">
        <f>'5.12'!I12</f>
        <v>261</v>
      </c>
      <c r="J23" s="283">
        <f>'5.12'!J12</f>
        <v>148</v>
      </c>
      <c r="K23" s="283">
        <f>'5.12'!K12</f>
        <v>320</v>
      </c>
      <c r="L23" s="383">
        <v>304.89999999999998</v>
      </c>
    </row>
    <row r="24" spans="1:12" ht="14.25" customHeight="1">
      <c r="A24" s="175" t="s">
        <v>205</v>
      </c>
      <c r="B24" s="283">
        <f>'5.13'!B12</f>
        <v>37</v>
      </c>
      <c r="C24" s="283">
        <f>'5.13'!C12</f>
        <v>20</v>
      </c>
      <c r="D24" s="283">
        <f>'5.13'!D12</f>
        <v>43</v>
      </c>
      <c r="E24" s="283">
        <f>'5.13'!E12</f>
        <v>38</v>
      </c>
      <c r="F24" s="283">
        <f>'5.13'!F12</f>
        <v>52</v>
      </c>
      <c r="G24" s="283">
        <f>'5.13'!G12</f>
        <v>62</v>
      </c>
      <c r="H24" s="283">
        <f>'5.13'!H12</f>
        <v>206</v>
      </c>
      <c r="I24" s="283">
        <f>'5.13'!I12</f>
        <v>11</v>
      </c>
      <c r="J24" s="283">
        <f>'5.13'!J12</f>
        <v>15</v>
      </c>
      <c r="K24" s="283">
        <f>'5.13'!K12</f>
        <v>20</v>
      </c>
      <c r="L24" s="383">
        <v>41.3</v>
      </c>
    </row>
    <row r="25" spans="1:12" ht="14.25" customHeight="1">
      <c r="A25" s="175" t="s">
        <v>211</v>
      </c>
      <c r="B25" s="283">
        <f>'5.11'!B12</f>
        <v>6</v>
      </c>
      <c r="C25" s="283">
        <f>'5.11'!C12</f>
        <v>4</v>
      </c>
      <c r="D25" s="283">
        <f>'5.11'!D12</f>
        <v>7</v>
      </c>
      <c r="E25" s="283">
        <f>'5.11'!E12</f>
        <v>8</v>
      </c>
      <c r="F25" s="283">
        <f>'5.11'!F12</f>
        <v>8</v>
      </c>
      <c r="G25" s="283">
        <f>'5.11'!G12</f>
        <v>23</v>
      </c>
      <c r="H25" s="283">
        <f>'5.11'!H12</f>
        <v>29</v>
      </c>
      <c r="I25" s="283">
        <f>'5.11'!I12</f>
        <v>25</v>
      </c>
      <c r="J25" s="283">
        <f>'5.11'!J12</f>
        <v>24</v>
      </c>
      <c r="K25" s="283">
        <f>'5.11'!K12</f>
        <v>29</v>
      </c>
      <c r="L25" s="383">
        <v>28.27</v>
      </c>
    </row>
    <row r="26" spans="1:12" ht="14.25" customHeight="1">
      <c r="A26" s="9" t="s">
        <v>197</v>
      </c>
      <c r="B26" s="283">
        <f>'5.14'!B12</f>
        <v>0</v>
      </c>
      <c r="C26" s="283">
        <f>'5.14'!C12</f>
        <v>0</v>
      </c>
      <c r="D26" s="283">
        <f>'5.14'!D12</f>
        <v>0</v>
      </c>
      <c r="E26" s="283">
        <f>'5.14'!E12</f>
        <v>0</v>
      </c>
      <c r="F26" s="283">
        <f>'5.14'!F12</f>
        <v>0</v>
      </c>
      <c r="G26" s="283">
        <f>'5.14'!G12</f>
        <v>0</v>
      </c>
      <c r="H26" s="283">
        <f>'5.14'!H12</f>
        <v>31</v>
      </c>
      <c r="I26" s="283">
        <f>'5.14'!I12</f>
        <v>20</v>
      </c>
      <c r="J26" s="283">
        <f>'5.14'!J12</f>
        <v>47</v>
      </c>
      <c r="K26" s="283">
        <f>'5.14'!K12</f>
        <v>26</v>
      </c>
      <c r="L26" s="383">
        <v>22.2</v>
      </c>
    </row>
    <row r="27" spans="1:12" ht="14.25" customHeight="1">
      <c r="A27" s="9" t="s">
        <v>284</v>
      </c>
      <c r="B27" s="283">
        <f>'5.16'!B12</f>
        <v>0</v>
      </c>
      <c r="C27" s="283">
        <f>'5.16'!C12</f>
        <v>0</v>
      </c>
      <c r="D27" s="283">
        <f>'5.16'!D12</f>
        <v>0</v>
      </c>
      <c r="E27" s="283">
        <f>'5.16'!E12</f>
        <v>0</v>
      </c>
      <c r="F27" s="283">
        <f>'5.16'!F12</f>
        <v>5</v>
      </c>
      <c r="G27" s="283">
        <f>'5.16'!G12</f>
        <v>7</v>
      </c>
      <c r="H27" s="283">
        <f>'5.16'!H12</f>
        <v>2</v>
      </c>
      <c r="I27" s="283">
        <f>'5.16'!I12</f>
        <v>5</v>
      </c>
      <c r="J27" s="283">
        <f>'5.16'!J12</f>
        <v>5</v>
      </c>
      <c r="K27" s="283">
        <f>'5.16'!K12</f>
        <v>8</v>
      </c>
      <c r="L27" s="383">
        <v>9.24</v>
      </c>
    </row>
    <row r="28" spans="1:12" ht="14.25" customHeight="1">
      <c r="A28" s="48" t="s">
        <v>200</v>
      </c>
      <c r="B28" s="284">
        <f>'5.17'!B12</f>
        <v>0</v>
      </c>
      <c r="C28" s="284">
        <f>'5.17'!C12</f>
        <v>0</v>
      </c>
      <c r="D28" s="284">
        <f>'5.17'!D12</f>
        <v>0</v>
      </c>
      <c r="E28" s="284">
        <f>'5.17'!E12</f>
        <v>0</v>
      </c>
      <c r="F28" s="284">
        <f>'5.17'!F12</f>
        <v>0</v>
      </c>
      <c r="G28" s="284">
        <f>'5.17'!G12</f>
        <v>0</v>
      </c>
      <c r="H28" s="284">
        <f>'5.17'!H12</f>
        <v>0</v>
      </c>
      <c r="I28" s="284">
        <f>'5.17'!I12</f>
        <v>0</v>
      </c>
      <c r="J28" s="284">
        <f>'5.17'!J12</f>
        <v>7</v>
      </c>
      <c r="K28" s="284">
        <f>'5.17'!K12</f>
        <v>5</v>
      </c>
      <c r="L28" s="384">
        <v>2.89</v>
      </c>
    </row>
    <row r="29" spans="1:12">
      <c r="A29" s="68"/>
    </row>
    <row r="30" spans="1:12">
      <c r="A30" s="34"/>
      <c r="B30" s="34"/>
      <c r="C30" s="34"/>
      <c r="D30" s="34"/>
      <c r="E30" s="34"/>
    </row>
    <row r="31" spans="1:12">
      <c r="A31" s="194"/>
      <c r="B31" s="34"/>
    </row>
  </sheetData>
  <mergeCells count="1">
    <mergeCell ref="B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B862D-C58D-48AF-8F25-B26587549B9A}">
  <dimension ref="A1:F27"/>
  <sheetViews>
    <sheetView showGridLines="0" zoomScaleNormal="100" workbookViewId="0">
      <selection activeCell="C1" sqref="C1"/>
    </sheetView>
  </sheetViews>
  <sheetFormatPr defaultRowHeight="14.5"/>
  <cols>
    <col min="1" max="1" width="63" customWidth="1"/>
    <col min="2" max="2" width="70.54296875" bestFit="1" customWidth="1"/>
    <col min="3" max="3" width="25.26953125" customWidth="1"/>
  </cols>
  <sheetData>
    <row r="1" spans="1:4" ht="14.25" customHeight="1">
      <c r="A1" s="39"/>
      <c r="B1" s="19"/>
      <c r="C1" s="27" t="str">
        <f>HYPERLINK("#Contents!A4","BACK TO CONTENTS")</f>
        <v>BACK TO CONTENTS</v>
      </c>
      <c r="D1" s="19"/>
    </row>
    <row r="2" spans="1:4" ht="14.25" customHeight="1">
      <c r="A2" s="54"/>
      <c r="B2" s="19"/>
      <c r="C2" s="19"/>
      <c r="D2" s="19"/>
    </row>
    <row r="3" spans="1:4" ht="60" customHeight="1">
      <c r="A3" s="58"/>
      <c r="B3" s="58"/>
      <c r="C3" s="58"/>
      <c r="D3" s="58"/>
    </row>
    <row r="4" spans="1:4" ht="14.25" customHeight="1">
      <c r="A4" s="55"/>
      <c r="B4" s="55"/>
      <c r="C4" s="55"/>
      <c r="D4" s="55"/>
    </row>
    <row r="5" spans="1:4" ht="14.25" customHeight="1">
      <c r="A5" s="56"/>
      <c r="B5" s="19"/>
      <c r="C5" s="19"/>
      <c r="D5" s="19"/>
    </row>
    <row r="6" spans="1:4" ht="14.25" customHeight="1">
      <c r="A6" s="56"/>
      <c r="B6" s="19"/>
      <c r="C6" s="19"/>
      <c r="D6" s="19"/>
    </row>
    <row r="7" spans="1:4" ht="14.25" customHeight="1">
      <c r="A7" s="56"/>
      <c r="B7" s="19"/>
      <c r="C7" s="19"/>
      <c r="D7" s="19"/>
    </row>
    <row r="8" spans="1:4" ht="14.25" customHeight="1">
      <c r="A8" s="56"/>
      <c r="B8" s="19"/>
      <c r="C8" s="19"/>
      <c r="D8" s="19"/>
    </row>
    <row r="9" spans="1:4" ht="14.25" customHeight="1">
      <c r="A9" s="56"/>
      <c r="B9" s="19"/>
      <c r="C9" s="19"/>
      <c r="D9" s="19"/>
    </row>
    <row r="10" spans="1:4" ht="14.25" customHeight="1">
      <c r="A10" s="56"/>
      <c r="B10" s="19"/>
      <c r="C10" s="19"/>
      <c r="D10" s="19"/>
    </row>
    <row r="11" spans="1:4" ht="14.25" customHeight="1">
      <c r="A11" s="39"/>
      <c r="B11" s="19"/>
      <c r="C11" s="19"/>
      <c r="D11" s="19"/>
    </row>
    <row r="12" spans="1:4" ht="14.25" customHeight="1">
      <c r="A12" s="57"/>
      <c r="B12" s="19"/>
      <c r="C12" s="19"/>
      <c r="D12" s="19"/>
    </row>
    <row r="13" spans="1:4" ht="14.25" customHeight="1">
      <c r="A13" s="481"/>
      <c r="B13" s="481"/>
      <c r="C13" s="481"/>
      <c r="D13" s="481"/>
    </row>
    <row r="14" spans="1:4" ht="14.25" customHeight="1">
      <c r="A14" s="56"/>
      <c r="B14" s="19"/>
      <c r="C14" s="19"/>
      <c r="D14" s="19"/>
    </row>
    <row r="15" spans="1:4" ht="14.25" customHeight="1">
      <c r="A15" s="39"/>
      <c r="B15" s="19"/>
      <c r="C15" s="19"/>
      <c r="D15" s="19"/>
    </row>
    <row r="16" spans="1:4" ht="14.25" customHeight="1">
      <c r="A16" s="482"/>
      <c r="B16" s="482"/>
      <c r="C16" s="482"/>
      <c r="D16" s="19"/>
    </row>
    <row r="17" spans="1:6" ht="14.25" customHeight="1">
      <c r="A17" s="56"/>
      <c r="B17" s="19"/>
      <c r="C17" s="19"/>
      <c r="D17" s="19"/>
    </row>
    <row r="18" spans="1:6" ht="14.25" customHeight="1">
      <c r="A18" s="39"/>
      <c r="B18" s="19"/>
      <c r="C18" s="19"/>
      <c r="D18" s="19"/>
    </row>
    <row r="19" spans="1:6" ht="14.25" customHeight="1">
      <c r="A19" s="482"/>
      <c r="B19" s="482"/>
      <c r="C19" s="482"/>
      <c r="D19" s="482"/>
    </row>
    <row r="20" spans="1:6" ht="14.25" customHeight="1">
      <c r="A20" s="56"/>
      <c r="B20" s="19"/>
      <c r="C20" s="19"/>
      <c r="D20" s="19"/>
    </row>
    <row r="21" spans="1:6" ht="14.25" customHeight="1">
      <c r="A21" s="39"/>
      <c r="B21" s="19"/>
      <c r="C21" s="19"/>
      <c r="D21" s="19"/>
    </row>
    <row r="22" spans="1:6" ht="14.25" customHeight="1">
      <c r="A22" s="54"/>
      <c r="B22" s="19"/>
      <c r="C22" s="19"/>
      <c r="D22" s="19"/>
    </row>
    <row r="23" spans="1:6" ht="14.25" customHeight="1">
      <c r="A23" s="54"/>
      <c r="B23" s="36"/>
      <c r="D23" s="36"/>
      <c r="E23" s="36"/>
      <c r="F23" s="36"/>
    </row>
    <row r="24" spans="1:6" ht="14.25" customHeight="1">
      <c r="A24" s="54"/>
      <c r="B24" s="36"/>
      <c r="D24" s="19"/>
    </row>
    <row r="25" spans="1:6" ht="14.25" customHeight="1">
      <c r="A25" s="54"/>
      <c r="B25" s="56"/>
      <c r="D25" s="19"/>
    </row>
    <row r="26" spans="1:6" ht="14.25" customHeight="1">
      <c r="A26" s="54"/>
      <c r="B26" s="56"/>
      <c r="D26" s="19"/>
    </row>
    <row r="27" spans="1:6" ht="14.25" customHeight="1">
      <c r="A27" s="54"/>
      <c r="B27" s="56"/>
      <c r="D27" s="19"/>
    </row>
  </sheetData>
  <sheetProtection algorithmName="SHA-512" hashValue="o7omVJ20Kpba8aVNDNzCyfOInVVFdkFts1oj5gDjFHn3aHSj3QXWp93WwggaApHYj6TLsB5bp/7VdTRhga2yoA==" saltValue="zxcm3tlNbQwVlyaB2Y7zTA==" spinCount="100000" sheet="1" objects="1" scenarios="1"/>
  <mergeCells count="3">
    <mergeCell ref="A13:D13"/>
    <mergeCell ref="A16:C16"/>
    <mergeCell ref="A19:D19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1AA39-B1D5-4F1D-8C6F-90866C0E4F74}">
  <dimension ref="A1:N29"/>
  <sheetViews>
    <sheetView showGridLines="0" workbookViewId="0">
      <selection activeCell="O17" sqref="O17"/>
    </sheetView>
  </sheetViews>
  <sheetFormatPr defaultRowHeight="14.5"/>
  <cols>
    <col min="1" max="1" width="27.54296875" customWidth="1"/>
    <col min="7" max="7" width="5.1796875" bestFit="1" customWidth="1"/>
  </cols>
  <sheetData>
    <row r="1" spans="1:14">
      <c r="A1" s="20" t="s">
        <v>212</v>
      </c>
      <c r="B1" s="478" t="s">
        <v>448</v>
      </c>
      <c r="C1" s="478"/>
      <c r="D1" s="478"/>
      <c r="E1" s="478"/>
      <c r="F1" s="478"/>
      <c r="G1" s="478"/>
      <c r="H1" s="478"/>
      <c r="I1" s="478"/>
      <c r="J1" s="478"/>
      <c r="K1" s="478"/>
      <c r="L1" s="486"/>
      <c r="N1" s="27" t="str">
        <f>HYPERLINK("#Contents!A4","BACK TO CONTENTS")</f>
        <v>BACK TO CONTENTS</v>
      </c>
    </row>
    <row r="3" spans="1:14" ht="14.15" customHeight="1">
      <c r="A3" s="41" t="s">
        <v>22</v>
      </c>
      <c r="B3" s="34"/>
      <c r="C3" s="11"/>
      <c r="D3" s="11"/>
      <c r="E3" s="11"/>
      <c r="F3" s="34"/>
      <c r="G3" s="34"/>
    </row>
    <row r="4" spans="1:14" ht="14.25" customHeight="1" thickBot="1">
      <c r="A4" s="33" t="s">
        <v>18</v>
      </c>
      <c r="B4" s="5">
        <v>2013</v>
      </c>
      <c r="C4" s="5">
        <v>2014</v>
      </c>
      <c r="D4" s="5">
        <v>2015</v>
      </c>
      <c r="E4" s="5">
        <v>2016</v>
      </c>
      <c r="F4" s="24">
        <v>2017</v>
      </c>
      <c r="G4" s="24">
        <v>2018</v>
      </c>
      <c r="H4" s="24">
        <v>2019</v>
      </c>
      <c r="I4" s="24">
        <v>2020</v>
      </c>
      <c r="J4" s="24">
        <v>2021</v>
      </c>
      <c r="K4" s="32">
        <v>2022</v>
      </c>
      <c r="L4" s="32">
        <v>2023</v>
      </c>
    </row>
    <row r="5" spans="1:14" ht="14.25" customHeight="1" thickTop="1">
      <c r="A5" s="179" t="s">
        <v>33</v>
      </c>
      <c r="B5" s="281">
        <f t="shared" ref="B5:K5" si="0">SUM(B6:B12)</f>
        <v>2539</v>
      </c>
      <c r="C5" s="281">
        <f t="shared" si="0"/>
        <v>1569</v>
      </c>
      <c r="D5" s="281">
        <f t="shared" si="0"/>
        <v>1099</v>
      </c>
      <c r="E5" s="281">
        <f t="shared" si="0"/>
        <v>735</v>
      </c>
      <c r="F5" s="281">
        <f t="shared" si="0"/>
        <v>833</v>
      </c>
      <c r="G5" s="281">
        <f t="shared" si="0"/>
        <v>774</v>
      </c>
      <c r="H5" s="281">
        <f t="shared" si="0"/>
        <v>1108</v>
      </c>
      <c r="I5" s="281">
        <f t="shared" si="0"/>
        <v>624</v>
      </c>
      <c r="J5" s="281">
        <f t="shared" si="0"/>
        <v>687</v>
      </c>
      <c r="K5" s="282">
        <f t="shared" si="0"/>
        <v>582</v>
      </c>
      <c r="L5" s="282">
        <f>SUM(L6:L12)</f>
        <v>695.23199999999997</v>
      </c>
    </row>
    <row r="6" spans="1:14" ht="14.25" customHeight="1">
      <c r="A6" s="1" t="s">
        <v>196</v>
      </c>
      <c r="B6" s="283">
        <f>'5.15'!B5</f>
        <v>27</v>
      </c>
      <c r="C6" s="283">
        <f>'5.15'!C5</f>
        <v>29</v>
      </c>
      <c r="D6" s="283">
        <f>'5.15'!D5</f>
        <v>30</v>
      </c>
      <c r="E6" s="283">
        <f>'5.15'!E5</f>
        <v>48</v>
      </c>
      <c r="F6" s="283">
        <f>'5.15'!F5</f>
        <v>35</v>
      </c>
      <c r="G6" s="268">
        <f>'5.15'!G5</f>
        <v>33</v>
      </c>
      <c r="H6" s="268">
        <f>'5.15'!H5</f>
        <v>30</v>
      </c>
      <c r="I6" s="268">
        <f>'5.15'!I5</f>
        <v>15</v>
      </c>
      <c r="J6" s="268">
        <f>'5.15'!J5</f>
        <v>20</v>
      </c>
      <c r="K6" s="285">
        <f>'5.15'!K5</f>
        <v>16</v>
      </c>
      <c r="L6" s="285">
        <v>43.73</v>
      </c>
    </row>
    <row r="7" spans="1:14" ht="14.25" customHeight="1">
      <c r="A7" s="1" t="s">
        <v>195</v>
      </c>
      <c r="B7" s="268">
        <f>'5.12'!B5</f>
        <v>2386</v>
      </c>
      <c r="C7" s="268">
        <f>'5.12'!C5</f>
        <v>1446</v>
      </c>
      <c r="D7" s="268">
        <f>'5.12'!D5</f>
        <v>960</v>
      </c>
      <c r="E7" s="268">
        <f>'5.12'!E5</f>
        <v>580</v>
      </c>
      <c r="F7" s="268">
        <f>'5.12'!F5</f>
        <v>715</v>
      </c>
      <c r="G7" s="268">
        <f>'5.12'!G5</f>
        <v>658</v>
      </c>
      <c r="H7" s="268">
        <f>'5.12'!H5</f>
        <v>863</v>
      </c>
      <c r="I7" s="268">
        <f>'5.12'!I5</f>
        <v>369</v>
      </c>
      <c r="J7" s="268">
        <f>'5.12'!J5</f>
        <v>439</v>
      </c>
      <c r="K7" s="285">
        <f>'5.12'!K5</f>
        <v>353</v>
      </c>
      <c r="L7" s="285">
        <v>392.017</v>
      </c>
      <c r="N7" s="166"/>
    </row>
    <row r="8" spans="1:14" ht="14.25" customHeight="1">
      <c r="A8" s="1" t="s">
        <v>205</v>
      </c>
      <c r="B8" s="268">
        <f>'5.13'!B5</f>
        <v>90</v>
      </c>
      <c r="C8" s="268">
        <f>'5.13'!C5</f>
        <v>54</v>
      </c>
      <c r="D8" s="268">
        <f>'5.13'!D5</f>
        <v>66</v>
      </c>
      <c r="E8" s="268">
        <f>'5.13'!E5</f>
        <v>70</v>
      </c>
      <c r="F8" s="268">
        <f>'5.13'!F5</f>
        <v>40</v>
      </c>
      <c r="G8" s="268">
        <f>'5.13'!G5</f>
        <v>41</v>
      </c>
      <c r="H8" s="268">
        <f>'5.13'!H5</f>
        <v>37</v>
      </c>
      <c r="I8" s="268">
        <f>'5.13'!I5</f>
        <v>20</v>
      </c>
      <c r="J8" s="268">
        <f>'5.13'!J5</f>
        <v>18</v>
      </c>
      <c r="K8" s="285">
        <f>'5.13'!K5</f>
        <v>20</v>
      </c>
      <c r="L8" s="285">
        <v>39.24</v>
      </c>
    </row>
    <row r="9" spans="1:14" ht="20.25" customHeight="1">
      <c r="A9" s="1" t="s">
        <v>211</v>
      </c>
      <c r="B9" s="268">
        <f>'5.11'!B5</f>
        <v>36</v>
      </c>
      <c r="C9" s="268">
        <f>'5.11'!C5</f>
        <v>40</v>
      </c>
      <c r="D9" s="268">
        <f>'5.11'!D5</f>
        <v>43</v>
      </c>
      <c r="E9" s="268">
        <f>'5.11'!E5</f>
        <v>37</v>
      </c>
      <c r="F9" s="268">
        <f>'5.11'!F5</f>
        <v>41</v>
      </c>
      <c r="G9" s="268">
        <f>'5.11'!G5</f>
        <v>39</v>
      </c>
      <c r="H9" s="268">
        <f>'5.11'!H5</f>
        <v>40</v>
      </c>
      <c r="I9" s="268">
        <f>'5.11'!I5</f>
        <v>40</v>
      </c>
      <c r="J9" s="268">
        <f>'5.11'!J5</f>
        <v>49</v>
      </c>
      <c r="K9" s="285">
        <f>'5.11'!K5</f>
        <v>53</v>
      </c>
      <c r="L9" s="285">
        <v>76.55</v>
      </c>
    </row>
    <row r="10" spans="1:14" ht="14.25" customHeight="1">
      <c r="A10" s="1" t="s">
        <v>197</v>
      </c>
      <c r="B10" s="268">
        <f>'5.14'!B5</f>
        <v>0</v>
      </c>
      <c r="C10" s="268">
        <f>'5.14'!C5</f>
        <v>0</v>
      </c>
      <c r="D10" s="268">
        <f>'5.14'!D5</f>
        <v>0</v>
      </c>
      <c r="E10" s="268">
        <f>'5.14'!E5</f>
        <v>0</v>
      </c>
      <c r="F10" s="268">
        <f>'5.14'!F5</f>
        <v>0</v>
      </c>
      <c r="G10" s="268">
        <f>'5.14'!G5</f>
        <v>0</v>
      </c>
      <c r="H10" s="268">
        <f>'5.14'!H5</f>
        <v>131</v>
      </c>
      <c r="I10" s="268">
        <f>'5.14'!I5</f>
        <v>174</v>
      </c>
      <c r="J10" s="268">
        <f>'5.14'!J5</f>
        <v>146</v>
      </c>
      <c r="K10" s="285">
        <f>'5.14'!K5</f>
        <v>114</v>
      </c>
      <c r="L10" s="285">
        <v>128.05799999999999</v>
      </c>
    </row>
    <row r="11" spans="1:14" ht="14.25" customHeight="1">
      <c r="A11" s="1" t="s">
        <v>284</v>
      </c>
      <c r="B11" s="268">
        <f>'5.16'!B5</f>
        <v>0</v>
      </c>
      <c r="C11" s="268">
        <f>'5.16'!C5</f>
        <v>0</v>
      </c>
      <c r="D11" s="268">
        <f>'5.16'!D5</f>
        <v>0</v>
      </c>
      <c r="E11" s="268">
        <f>'5.16'!E5</f>
        <v>0</v>
      </c>
      <c r="F11" s="268">
        <f>'5.16'!F5</f>
        <v>2</v>
      </c>
      <c r="G11" s="268">
        <f>'5.16'!G5</f>
        <v>3</v>
      </c>
      <c r="H11" s="268">
        <f>'5.16'!H5</f>
        <v>7</v>
      </c>
      <c r="I11" s="268">
        <f>'5.16'!I5</f>
        <v>6</v>
      </c>
      <c r="J11" s="268">
        <f>'5.16'!J5</f>
        <v>6</v>
      </c>
      <c r="K11" s="285">
        <f>'5.16'!K5</f>
        <v>16</v>
      </c>
      <c r="L11" s="285">
        <v>11.42</v>
      </c>
    </row>
    <row r="12" spans="1:14" ht="14.25" customHeight="1">
      <c r="A12" s="1" t="s">
        <v>200</v>
      </c>
      <c r="B12" s="268">
        <f>'5.17'!B5</f>
        <v>0</v>
      </c>
      <c r="C12" s="268">
        <f>'5.17'!C5</f>
        <v>0</v>
      </c>
      <c r="D12" s="268">
        <f>'5.17'!D5</f>
        <v>0</v>
      </c>
      <c r="E12" s="268">
        <f>'5.17'!E5</f>
        <v>0</v>
      </c>
      <c r="F12" s="268">
        <f>'5.17'!F5</f>
        <v>0</v>
      </c>
      <c r="G12" s="268">
        <f>'5.17'!G5</f>
        <v>0</v>
      </c>
      <c r="H12" s="268">
        <f>'5.17'!H5</f>
        <v>0</v>
      </c>
      <c r="I12" s="268">
        <f>'5.17'!I5</f>
        <v>0</v>
      </c>
      <c r="J12" s="268">
        <f>'5.17'!J5</f>
        <v>9</v>
      </c>
      <c r="K12" s="285">
        <f>'5.17'!K5</f>
        <v>10</v>
      </c>
      <c r="L12" s="285">
        <v>4.2169999999999996</v>
      </c>
    </row>
    <row r="13" spans="1:14" ht="14.25" customHeight="1">
      <c r="A13" s="8" t="s">
        <v>34</v>
      </c>
      <c r="B13" s="273">
        <f t="shared" ref="B13:K13" si="1">SUM(B14:B20)</f>
        <v>2388</v>
      </c>
      <c r="C13" s="273">
        <f t="shared" si="1"/>
        <v>1403</v>
      </c>
      <c r="D13" s="273">
        <f t="shared" si="1"/>
        <v>936</v>
      </c>
      <c r="E13" s="273">
        <f t="shared" si="1"/>
        <v>268</v>
      </c>
      <c r="F13" s="273">
        <f t="shared" si="1"/>
        <v>-446</v>
      </c>
      <c r="G13" s="273">
        <f t="shared" si="1"/>
        <v>-468</v>
      </c>
      <c r="H13" s="273">
        <f t="shared" si="1"/>
        <v>-619</v>
      </c>
      <c r="I13" s="273">
        <f t="shared" si="1"/>
        <v>483</v>
      </c>
      <c r="J13" s="273">
        <f t="shared" si="1"/>
        <v>468</v>
      </c>
      <c r="K13" s="274">
        <f t="shared" si="1"/>
        <v>421</v>
      </c>
      <c r="L13" s="274">
        <f>SUM(L14:L20)</f>
        <v>471.91</v>
      </c>
    </row>
    <row r="14" spans="1:14" ht="14.25" customHeight="1">
      <c r="A14" s="1" t="s">
        <v>196</v>
      </c>
      <c r="B14" s="286">
        <f>'5.15'!B6</f>
        <v>20</v>
      </c>
      <c r="C14" s="286">
        <f>'5.15'!C6</f>
        <v>21</v>
      </c>
      <c r="D14" s="286">
        <f>'5.15'!D6</f>
        <v>22</v>
      </c>
      <c r="E14" s="286">
        <f>'5.15'!E6</f>
        <v>27</v>
      </c>
      <c r="F14" s="286">
        <f>'5.15'!F6</f>
        <v>30</v>
      </c>
      <c r="G14" s="286">
        <f>'5.15'!G6</f>
        <v>33</v>
      </c>
      <c r="H14" s="286">
        <f>'5.15'!H6</f>
        <v>29</v>
      </c>
      <c r="I14" s="286">
        <f>'5.15'!I6</f>
        <v>21</v>
      </c>
      <c r="J14" s="286">
        <f>'5.15'!J6</f>
        <v>19</v>
      </c>
      <c r="K14" s="287">
        <f>'5.15'!K6</f>
        <v>18</v>
      </c>
      <c r="L14" s="287">
        <v>22.25</v>
      </c>
    </row>
    <row r="15" spans="1:14" ht="14.25" customHeight="1">
      <c r="A15" s="1" t="s">
        <v>195</v>
      </c>
      <c r="B15" s="286">
        <f>'5.12'!B6</f>
        <v>2271</v>
      </c>
      <c r="C15" s="286">
        <f>'5.12'!C6</f>
        <v>1316</v>
      </c>
      <c r="D15" s="286">
        <f>'5.12'!D6</f>
        <v>835</v>
      </c>
      <c r="E15" s="286">
        <f>'5.12'!E6</f>
        <v>148</v>
      </c>
      <c r="F15" s="286">
        <f>'5.12'!F6</f>
        <v>-472</v>
      </c>
      <c r="G15" s="286">
        <f>'5.12'!G6</f>
        <v>-513</v>
      </c>
      <c r="H15" s="286">
        <f>'5.12'!H6</f>
        <v>-789</v>
      </c>
      <c r="I15" s="286">
        <f>'5.12'!I6</f>
        <v>274</v>
      </c>
      <c r="J15" s="286">
        <f>'5.12'!J6</f>
        <v>278</v>
      </c>
      <c r="K15" s="287">
        <f>'5.12'!K6</f>
        <v>232</v>
      </c>
      <c r="L15" s="287">
        <v>257.24</v>
      </c>
    </row>
    <row r="16" spans="1:14" ht="14.25" customHeight="1">
      <c r="A16" s="1" t="s">
        <v>205</v>
      </c>
      <c r="B16" s="286">
        <f>'5.13'!B6</f>
        <v>77</v>
      </c>
      <c r="C16" s="286">
        <f>'5.13'!C6</f>
        <v>43</v>
      </c>
      <c r="D16" s="286">
        <f>'5.13'!D6</f>
        <v>52</v>
      </c>
      <c r="E16" s="286">
        <f>'5.13'!E6</f>
        <v>65</v>
      </c>
      <c r="F16" s="286">
        <f>'5.13'!F6</f>
        <v>-37</v>
      </c>
      <c r="G16" s="286">
        <f>'5.13'!G6</f>
        <v>-28</v>
      </c>
      <c r="H16" s="286">
        <f>'5.13'!H6</f>
        <v>-33</v>
      </c>
      <c r="I16" s="286">
        <f>'5.13'!I6</f>
        <v>-2</v>
      </c>
      <c r="J16" s="286">
        <f>'5.13'!J6</f>
        <v>14</v>
      </c>
      <c r="K16" s="287">
        <f>'5.13'!K6</f>
        <v>18</v>
      </c>
      <c r="L16" s="287">
        <v>31.88</v>
      </c>
    </row>
    <row r="17" spans="1:12" ht="18.75" customHeight="1">
      <c r="A17" s="1" t="s">
        <v>211</v>
      </c>
      <c r="B17" s="286">
        <f>'5.11'!B6</f>
        <v>20</v>
      </c>
      <c r="C17" s="286">
        <f>'5.11'!C6</f>
        <v>23</v>
      </c>
      <c r="D17" s="286">
        <f>'5.11'!D6</f>
        <v>27</v>
      </c>
      <c r="E17" s="286">
        <f>'5.11'!E6</f>
        <v>28</v>
      </c>
      <c r="F17" s="286">
        <f>'5.11'!F6</f>
        <v>32</v>
      </c>
      <c r="G17" s="286">
        <f>'5.11'!G6</f>
        <v>38</v>
      </c>
      <c r="H17" s="286">
        <f>'5.11'!H6</f>
        <v>32</v>
      </c>
      <c r="I17" s="286">
        <f>'5.11'!I6</f>
        <v>32</v>
      </c>
      <c r="J17" s="286">
        <f>'5.11'!J6</f>
        <v>39</v>
      </c>
      <c r="K17" s="287">
        <f>'5.11'!K6</f>
        <v>42</v>
      </c>
      <c r="L17" s="287">
        <v>50.12</v>
      </c>
    </row>
    <row r="18" spans="1:12" ht="14.25" customHeight="1">
      <c r="A18" s="1" t="s">
        <v>197</v>
      </c>
      <c r="B18" s="268">
        <f>'5.14'!B6</f>
        <v>0</v>
      </c>
      <c r="C18" s="268">
        <f>'5.14'!C6</f>
        <v>0</v>
      </c>
      <c r="D18" s="268">
        <f>'5.14'!D6</f>
        <v>0</v>
      </c>
      <c r="E18" s="268">
        <f>'5.14'!E6</f>
        <v>0</v>
      </c>
      <c r="F18" s="268">
        <f>'5.14'!F6</f>
        <v>0</v>
      </c>
      <c r="G18" s="268">
        <f>'5.14'!G6</f>
        <v>0</v>
      </c>
      <c r="H18" s="268">
        <f>'5.14'!H6</f>
        <v>119</v>
      </c>
      <c r="I18" s="268">
        <f>'5.14'!I6</f>
        <v>148</v>
      </c>
      <c r="J18" s="268">
        <f>'5.14'!J6</f>
        <v>98</v>
      </c>
      <c r="K18" s="285">
        <f>'5.14'!K6</f>
        <v>85</v>
      </c>
      <c r="L18" s="285">
        <v>92.63</v>
      </c>
    </row>
    <row r="19" spans="1:12" ht="14.25" customHeight="1">
      <c r="A19" s="1" t="s">
        <v>284</v>
      </c>
      <c r="B19" s="268">
        <f>'5.16'!B6</f>
        <v>0</v>
      </c>
      <c r="C19" s="268">
        <f>'5.16'!C6</f>
        <v>0</v>
      </c>
      <c r="D19" s="268">
        <f>'5.16'!D6</f>
        <v>0</v>
      </c>
      <c r="E19" s="268">
        <f>'5.16'!E6</f>
        <v>0</v>
      </c>
      <c r="F19" s="268">
        <f>'5.16'!F6</f>
        <v>1</v>
      </c>
      <c r="G19" s="268">
        <f>'5.16'!G6</f>
        <v>2</v>
      </c>
      <c r="H19" s="268">
        <f>'5.16'!H6</f>
        <v>23</v>
      </c>
      <c r="I19" s="268">
        <f>'5.16'!I6</f>
        <v>10</v>
      </c>
      <c r="J19" s="268">
        <f>'5.16'!J6</f>
        <v>10</v>
      </c>
      <c r="K19" s="285">
        <f>'5.16'!K6</f>
        <v>17</v>
      </c>
      <c r="L19" s="285">
        <v>13.48</v>
      </c>
    </row>
    <row r="20" spans="1:12" ht="14.25" customHeight="1">
      <c r="A20" s="1" t="s">
        <v>200</v>
      </c>
      <c r="B20" s="268">
        <f>'5.17'!B6</f>
        <v>0</v>
      </c>
      <c r="C20" s="268">
        <f>'5.17'!C6</f>
        <v>0</v>
      </c>
      <c r="D20" s="268">
        <f>'5.17'!D6</f>
        <v>0</v>
      </c>
      <c r="E20" s="268">
        <f>'5.17'!E6</f>
        <v>0</v>
      </c>
      <c r="F20" s="268">
        <f>'5.17'!F6</f>
        <v>0</v>
      </c>
      <c r="G20" s="268">
        <f>'5.17'!G6</f>
        <v>0</v>
      </c>
      <c r="H20" s="268">
        <f>'5.17'!H6</f>
        <v>0</v>
      </c>
      <c r="I20" s="268">
        <f>'5.17'!I6</f>
        <v>0</v>
      </c>
      <c r="J20" s="268">
        <f>'5.17'!J6</f>
        <v>10</v>
      </c>
      <c r="K20" s="285">
        <f>'5.17'!K6</f>
        <v>9</v>
      </c>
      <c r="L20" s="285">
        <v>4.3099999999999996</v>
      </c>
    </row>
    <row r="21" spans="1:12" ht="14.25" customHeight="1">
      <c r="A21" s="8" t="s">
        <v>35</v>
      </c>
      <c r="B21" s="273">
        <f t="shared" ref="B21:K21" si="2">SUM(B22:B28)</f>
        <v>150</v>
      </c>
      <c r="C21" s="273">
        <f t="shared" si="2"/>
        <v>167</v>
      </c>
      <c r="D21" s="273">
        <f t="shared" si="2"/>
        <v>156</v>
      </c>
      <c r="E21" s="273">
        <f t="shared" si="2"/>
        <v>121</v>
      </c>
      <c r="F21" s="273">
        <f t="shared" si="2"/>
        <v>268</v>
      </c>
      <c r="G21" s="273">
        <f t="shared" si="2"/>
        <v>165</v>
      </c>
      <c r="H21" s="273">
        <f t="shared" si="2"/>
        <v>85</v>
      </c>
      <c r="I21" s="273">
        <f t="shared" si="2"/>
        <v>123</v>
      </c>
      <c r="J21" s="273">
        <f t="shared" si="2"/>
        <v>222.2</v>
      </c>
      <c r="K21" s="274">
        <f t="shared" si="2"/>
        <v>161</v>
      </c>
      <c r="L21" s="274">
        <f>SUM(L22:L28)</f>
        <v>223.30400000000003</v>
      </c>
    </row>
    <row r="22" spans="1:12" ht="14.25" customHeight="1">
      <c r="A22" s="1" t="s">
        <v>196</v>
      </c>
      <c r="B22" s="286">
        <f>'5.15'!B7</f>
        <v>7</v>
      </c>
      <c r="C22" s="286">
        <f>'5.15'!C7</f>
        <v>9</v>
      </c>
      <c r="D22" s="286">
        <f>'5.15'!D7</f>
        <v>8</v>
      </c>
      <c r="E22" s="286">
        <f>'5.15'!E7</f>
        <v>21</v>
      </c>
      <c r="F22" s="286">
        <f>'5.15'!F7</f>
        <v>12</v>
      </c>
      <c r="G22" s="286">
        <f>'5.15'!G7</f>
        <v>-1</v>
      </c>
      <c r="H22" s="286">
        <f>'5.15'!H7</f>
        <v>2</v>
      </c>
      <c r="I22" s="286">
        <f>'5.15'!I7</f>
        <v>-6</v>
      </c>
      <c r="J22" s="286">
        <f>'5.15'!J7</f>
        <v>1</v>
      </c>
      <c r="K22" s="287">
        <f>'5.15'!K7</f>
        <v>-2</v>
      </c>
      <c r="L22" s="287">
        <v>21.5</v>
      </c>
    </row>
    <row r="23" spans="1:12" ht="14.25" customHeight="1">
      <c r="A23" s="1" t="s">
        <v>195</v>
      </c>
      <c r="B23" s="286">
        <f>'5.12'!B7</f>
        <v>116</v>
      </c>
      <c r="C23" s="286">
        <f>'5.12'!C7</f>
        <v>128</v>
      </c>
      <c r="D23" s="286">
        <f>'5.12'!D7</f>
        <v>118</v>
      </c>
      <c r="E23" s="286">
        <f>'5.12'!E7</f>
        <v>87</v>
      </c>
      <c r="F23" s="286">
        <f>'5.12'!F7</f>
        <v>243</v>
      </c>
      <c r="G23" s="286">
        <f>'5.12'!G7</f>
        <v>145</v>
      </c>
      <c r="H23" s="286">
        <f>'5.12'!H7</f>
        <v>74</v>
      </c>
      <c r="I23" s="286">
        <f>'5.12'!I7</f>
        <v>95</v>
      </c>
      <c r="J23" s="286">
        <f>'5.12'!J7</f>
        <v>161</v>
      </c>
      <c r="K23" s="287">
        <f>'5.12'!K7</f>
        <v>121</v>
      </c>
      <c r="L23" s="287">
        <v>134.77000000000001</v>
      </c>
    </row>
    <row r="24" spans="1:12" ht="14.25" customHeight="1">
      <c r="A24" s="1" t="s">
        <v>205</v>
      </c>
      <c r="B24" s="286">
        <f>'5.13'!B7</f>
        <v>13</v>
      </c>
      <c r="C24" s="286">
        <f>'5.13'!C7</f>
        <v>12</v>
      </c>
      <c r="D24" s="286">
        <f>'5.13'!D7</f>
        <v>14</v>
      </c>
      <c r="E24" s="286">
        <f>'5.13'!E7</f>
        <v>4</v>
      </c>
      <c r="F24" s="286">
        <f>'5.13'!F7</f>
        <v>3</v>
      </c>
      <c r="G24" s="286">
        <f>'5.13'!G7</f>
        <v>13</v>
      </c>
      <c r="H24" s="286">
        <f>'5.13'!H7</f>
        <v>4</v>
      </c>
      <c r="I24" s="286">
        <f>'5.13'!I7</f>
        <v>4</v>
      </c>
      <c r="J24" s="286">
        <f>'5.13'!J7</f>
        <v>4</v>
      </c>
      <c r="K24" s="287">
        <f>'5.13'!K7</f>
        <v>2</v>
      </c>
      <c r="L24" s="287">
        <v>7.36</v>
      </c>
    </row>
    <row r="25" spans="1:12" ht="20.25" customHeight="1">
      <c r="A25" s="1" t="s">
        <v>211</v>
      </c>
      <c r="B25" s="286">
        <f>'5.11'!B7</f>
        <v>14</v>
      </c>
      <c r="C25" s="286">
        <f>'5.11'!C7</f>
        <v>18</v>
      </c>
      <c r="D25" s="286">
        <f>'5.11'!D7</f>
        <v>16</v>
      </c>
      <c r="E25" s="286">
        <f>'5.11'!E7</f>
        <v>9</v>
      </c>
      <c r="F25" s="286">
        <f>'5.11'!F7</f>
        <v>9</v>
      </c>
      <c r="G25" s="286">
        <f>'5.11'!G7</f>
        <v>7</v>
      </c>
      <c r="H25" s="286">
        <f>'5.11'!H7</f>
        <v>7</v>
      </c>
      <c r="I25" s="286">
        <f>'5.11'!I7</f>
        <v>8</v>
      </c>
      <c r="J25" s="286">
        <f>'5.11'!J7</f>
        <v>12</v>
      </c>
      <c r="K25" s="287">
        <f>'5.11'!K7</f>
        <v>11</v>
      </c>
      <c r="L25" s="287">
        <v>26.4</v>
      </c>
    </row>
    <row r="26" spans="1:12" ht="14.25" customHeight="1">
      <c r="A26" s="1" t="s">
        <v>197</v>
      </c>
      <c r="B26" s="268">
        <f>'5.14'!B7</f>
        <v>0</v>
      </c>
      <c r="C26" s="268">
        <f>'5.14'!C7</f>
        <v>0</v>
      </c>
      <c r="D26" s="268">
        <f>'5.14'!D7</f>
        <v>0</v>
      </c>
      <c r="E26" s="268">
        <f>'5.14'!E7</f>
        <v>0</v>
      </c>
      <c r="F26" s="268">
        <f>'5.14'!F7</f>
        <v>0</v>
      </c>
      <c r="G26" s="268">
        <f>'5.14'!G7</f>
        <v>0</v>
      </c>
      <c r="H26" s="268">
        <f>'5.14'!H7</f>
        <v>14</v>
      </c>
      <c r="I26" s="268">
        <f>'5.14'!I7</f>
        <v>26</v>
      </c>
      <c r="J26" s="268">
        <f>'5.14'!J7</f>
        <v>48</v>
      </c>
      <c r="K26" s="285">
        <f>'5.14'!K7</f>
        <v>29</v>
      </c>
      <c r="L26" s="285">
        <v>35.423999999999999</v>
      </c>
    </row>
    <row r="27" spans="1:12" ht="14.25" customHeight="1">
      <c r="A27" s="1" t="s">
        <v>284</v>
      </c>
      <c r="B27" s="268">
        <f>'5.16'!B7</f>
        <v>0</v>
      </c>
      <c r="C27" s="268">
        <f>'5.16'!C7</f>
        <v>0</v>
      </c>
      <c r="D27" s="268">
        <f>'5.16'!D7</f>
        <v>0</v>
      </c>
      <c r="E27" s="268">
        <f>'5.16'!E7</f>
        <v>0</v>
      </c>
      <c r="F27" s="268">
        <f>'5.16'!F7</f>
        <v>1</v>
      </c>
      <c r="G27" s="268">
        <f>'5.16'!G7</f>
        <v>1</v>
      </c>
      <c r="H27" s="268">
        <f>'5.16'!H7</f>
        <v>-16</v>
      </c>
      <c r="I27" s="268">
        <f>'5.16'!I7</f>
        <v>-4</v>
      </c>
      <c r="J27" s="268">
        <f>'5.16'!J7</f>
        <v>-4</v>
      </c>
      <c r="K27" s="285">
        <f>'5.16'!K7</f>
        <v>-1</v>
      </c>
      <c r="L27" s="285">
        <v>-2.0499999999999998</v>
      </c>
    </row>
    <row r="28" spans="1:12" ht="14.25" customHeight="1">
      <c r="A28" s="2" t="s">
        <v>200</v>
      </c>
      <c r="B28" s="344">
        <f>'5.17'!B7</f>
        <v>0</v>
      </c>
      <c r="C28" s="344">
        <f>'5.17'!C7</f>
        <v>0</v>
      </c>
      <c r="D28" s="344">
        <f>'5.17'!D7</f>
        <v>0</v>
      </c>
      <c r="E28" s="344">
        <f>'5.17'!E7</f>
        <v>0</v>
      </c>
      <c r="F28" s="344">
        <f>'5.17'!F7</f>
        <v>0</v>
      </c>
      <c r="G28" s="344">
        <f>'5.17'!G7</f>
        <v>0</v>
      </c>
      <c r="H28" s="344">
        <f>'5.17'!H7</f>
        <v>0</v>
      </c>
      <c r="I28" s="344">
        <f>'5.17'!I7</f>
        <v>0</v>
      </c>
      <c r="J28" s="344">
        <f>'5.17'!J7</f>
        <v>0.2</v>
      </c>
      <c r="K28" s="345">
        <f>'5.17'!K7</f>
        <v>1</v>
      </c>
      <c r="L28" s="345">
        <v>-0.1</v>
      </c>
    </row>
    <row r="29" spans="1:12" ht="14.15" customHeight="1"/>
  </sheetData>
  <mergeCells count="1">
    <mergeCell ref="B1:L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B72CF-C2B8-45D4-9F8C-92DE8D33D316}">
  <dimension ref="A1:L17"/>
  <sheetViews>
    <sheetView showGridLines="0" workbookViewId="0">
      <selection activeCell="N13" sqref="N13"/>
    </sheetView>
  </sheetViews>
  <sheetFormatPr defaultRowHeight="14.5"/>
  <cols>
    <col min="1" max="1" width="13.54296875" customWidth="1"/>
  </cols>
  <sheetData>
    <row r="1" spans="1:12">
      <c r="A1" s="20" t="s">
        <v>317</v>
      </c>
      <c r="C1" s="479" t="s">
        <v>311</v>
      </c>
      <c r="D1" s="479"/>
      <c r="E1" s="479"/>
      <c r="F1" s="479"/>
      <c r="G1" s="479"/>
      <c r="H1" s="479"/>
      <c r="I1" s="479"/>
      <c r="K1" s="27" t="str">
        <f>HYPERLINK("#Contents!A4","BACK TO CONTENTS")</f>
        <v>BACK TO CONTENTS</v>
      </c>
    </row>
    <row r="3" spans="1:12">
      <c r="A3" s="20" t="s">
        <v>313</v>
      </c>
    </row>
    <row r="4" spans="1:12" ht="15" thickBot="1">
      <c r="A4" s="13"/>
      <c r="B4" s="5">
        <v>2014</v>
      </c>
      <c r="C4" s="5">
        <v>2015</v>
      </c>
      <c r="D4" s="5">
        <v>2016</v>
      </c>
      <c r="E4" s="5">
        <v>2017</v>
      </c>
      <c r="F4" s="5">
        <v>2018</v>
      </c>
      <c r="G4" s="5">
        <v>2019</v>
      </c>
      <c r="H4" s="5">
        <v>2020</v>
      </c>
      <c r="I4" s="14">
        <v>2021</v>
      </c>
      <c r="J4" s="14">
        <v>2022</v>
      </c>
      <c r="K4" s="18">
        <v>2023</v>
      </c>
      <c r="L4" s="18">
        <v>2024</v>
      </c>
    </row>
    <row r="5" spans="1:12" ht="15" thickTop="1">
      <c r="A5" s="16" t="s">
        <v>445</v>
      </c>
      <c r="B5" s="59">
        <f>SUM(B6:B15)</f>
        <v>0</v>
      </c>
      <c r="C5" s="59">
        <f t="shared" ref="C5:L5" si="0">SUM(C6:C15)</f>
        <v>0</v>
      </c>
      <c r="D5" s="59">
        <f t="shared" si="0"/>
        <v>0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15</v>
      </c>
      <c r="L5" s="120">
        <f t="shared" si="0"/>
        <v>9</v>
      </c>
    </row>
    <row r="6" spans="1:12">
      <c r="A6" s="123" t="s">
        <v>262</v>
      </c>
      <c r="B6" s="464"/>
      <c r="C6" s="464"/>
      <c r="D6" s="464"/>
      <c r="E6" s="464"/>
      <c r="F6" s="464"/>
      <c r="G6" s="464"/>
      <c r="H6" s="464"/>
      <c r="I6" s="464"/>
      <c r="J6" s="464"/>
      <c r="K6" s="124">
        <v>1</v>
      </c>
      <c r="L6" s="124">
        <v>1</v>
      </c>
    </row>
    <row r="7" spans="1:12">
      <c r="A7" s="123" t="s">
        <v>263</v>
      </c>
      <c r="B7" s="464"/>
      <c r="C7" s="464"/>
      <c r="D7" s="464"/>
      <c r="E7" s="464"/>
      <c r="F7" s="464"/>
      <c r="G7" s="464"/>
      <c r="H7" s="464"/>
      <c r="I7" s="464"/>
      <c r="J7" s="464"/>
      <c r="K7" s="124">
        <v>0</v>
      </c>
      <c r="L7" s="124">
        <v>4</v>
      </c>
    </row>
    <row r="8" spans="1:12">
      <c r="A8" s="123" t="s">
        <v>269</v>
      </c>
      <c r="B8" s="464"/>
      <c r="C8" s="464"/>
      <c r="D8" s="464"/>
      <c r="E8" s="464"/>
      <c r="F8" s="464"/>
      <c r="G8" s="464"/>
      <c r="H8" s="464"/>
      <c r="I8" s="464"/>
      <c r="J8" s="464"/>
      <c r="K8" s="124">
        <v>10</v>
      </c>
      <c r="L8" s="124">
        <v>3</v>
      </c>
    </row>
    <row r="9" spans="1:12" ht="30">
      <c r="A9" s="123" t="s">
        <v>271</v>
      </c>
      <c r="B9" s="464"/>
      <c r="C9" s="464"/>
      <c r="D9" s="464"/>
      <c r="E9" s="464"/>
      <c r="F9" s="464"/>
      <c r="G9" s="464"/>
      <c r="H9" s="464"/>
      <c r="I9" s="464"/>
      <c r="J9" s="464"/>
      <c r="K9" s="124">
        <v>0</v>
      </c>
      <c r="L9" s="124">
        <v>0</v>
      </c>
    </row>
    <row r="10" spans="1:12">
      <c r="A10" s="123" t="s">
        <v>265</v>
      </c>
      <c r="B10" s="464"/>
      <c r="C10" s="464"/>
      <c r="D10" s="464"/>
      <c r="E10" s="464"/>
      <c r="F10" s="464"/>
      <c r="G10" s="464"/>
      <c r="H10" s="464"/>
      <c r="I10" s="464"/>
      <c r="J10" s="464"/>
      <c r="K10" s="124">
        <v>1</v>
      </c>
      <c r="L10" s="124">
        <v>0</v>
      </c>
    </row>
    <row r="11" spans="1:12">
      <c r="A11" s="123" t="s">
        <v>264</v>
      </c>
      <c r="B11" s="464"/>
      <c r="C11" s="464"/>
      <c r="D11" s="464"/>
      <c r="E11" s="464"/>
      <c r="F11" s="464"/>
      <c r="G11" s="464"/>
      <c r="H11" s="464"/>
      <c r="I11" s="464"/>
      <c r="J11" s="464"/>
      <c r="K11" s="124">
        <v>3</v>
      </c>
      <c r="L11" s="124">
        <v>0</v>
      </c>
    </row>
    <row r="12" spans="1:12">
      <c r="A12" s="123" t="s">
        <v>270</v>
      </c>
      <c r="B12" s="464"/>
      <c r="C12" s="464"/>
      <c r="D12" s="464"/>
      <c r="E12" s="464"/>
      <c r="F12" s="464"/>
      <c r="G12" s="464"/>
      <c r="H12" s="464"/>
      <c r="I12" s="464"/>
      <c r="J12" s="464"/>
      <c r="K12" s="124">
        <v>0</v>
      </c>
      <c r="L12" s="124">
        <v>0</v>
      </c>
    </row>
    <row r="13" spans="1:12">
      <c r="A13" s="123" t="s">
        <v>266</v>
      </c>
      <c r="B13" s="464"/>
      <c r="C13" s="464"/>
      <c r="D13" s="464"/>
      <c r="E13" s="464"/>
      <c r="F13" s="464"/>
      <c r="G13" s="464"/>
      <c r="H13" s="464"/>
      <c r="I13" s="464"/>
      <c r="J13" s="464"/>
      <c r="K13" s="124">
        <v>0</v>
      </c>
      <c r="L13" s="124">
        <v>0</v>
      </c>
    </row>
    <row r="14" spans="1:12" ht="20">
      <c r="A14" s="123" t="s">
        <v>319</v>
      </c>
      <c r="B14" s="466"/>
      <c r="C14" s="466"/>
      <c r="D14" s="466"/>
      <c r="E14" s="466"/>
      <c r="F14" s="466"/>
      <c r="G14" s="466"/>
      <c r="H14" s="466"/>
      <c r="I14" s="466"/>
      <c r="J14" s="466"/>
      <c r="K14" s="124">
        <v>0</v>
      </c>
      <c r="L14" s="124">
        <v>0</v>
      </c>
    </row>
    <row r="15" spans="1:12">
      <c r="A15" s="125" t="s">
        <v>320</v>
      </c>
      <c r="B15" s="465"/>
      <c r="C15" s="465"/>
      <c r="D15" s="465"/>
      <c r="E15" s="465"/>
      <c r="F15" s="465"/>
      <c r="G15" s="465"/>
      <c r="H15" s="465"/>
      <c r="I15" s="465"/>
      <c r="J15" s="465"/>
      <c r="K15" s="127">
        <v>0</v>
      </c>
      <c r="L15" s="127">
        <v>1</v>
      </c>
    </row>
    <row r="17" spans="1:2">
      <c r="A17" s="180" t="s">
        <v>336</v>
      </c>
      <c r="B17" s="34" t="s">
        <v>442</v>
      </c>
    </row>
  </sheetData>
  <mergeCells count="1">
    <mergeCell ref="C1:I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B6374-CC5D-4F02-8FB1-7EA0153E943F}">
  <dimension ref="A1:M13"/>
  <sheetViews>
    <sheetView showGridLines="0" workbookViewId="0">
      <selection activeCell="L1" sqref="L1"/>
    </sheetView>
  </sheetViews>
  <sheetFormatPr defaultRowHeight="14.5"/>
  <cols>
    <col min="1" max="1" width="23.1796875" customWidth="1"/>
    <col min="9" max="9" width="9.7265625" customWidth="1"/>
  </cols>
  <sheetData>
    <row r="1" spans="1:13" ht="27.75" customHeight="1">
      <c r="A1" s="39" t="s">
        <v>213</v>
      </c>
      <c r="B1" s="490" t="s">
        <v>214</v>
      </c>
      <c r="C1" s="490"/>
      <c r="D1" s="490"/>
      <c r="E1" s="490"/>
      <c r="F1" s="490"/>
      <c r="G1" s="497"/>
      <c r="H1" s="497"/>
      <c r="I1" s="497"/>
      <c r="J1" s="497"/>
      <c r="L1" s="27" t="str">
        <f>HYPERLINK("#Contents!A43","BACK TO CONTENTS")</f>
        <v>BACK TO CONTENTS</v>
      </c>
    </row>
    <row r="2" spans="1:13" ht="15">
      <c r="A2" s="35"/>
      <c r="B2" s="19"/>
      <c r="C2" s="19"/>
      <c r="D2" s="19"/>
      <c r="E2" s="19"/>
      <c r="F2" s="19"/>
      <c r="G2" s="19"/>
      <c r="H2" s="19"/>
      <c r="I2" s="19"/>
      <c r="J2" s="19"/>
    </row>
    <row r="3" spans="1:13">
      <c r="A3" s="39" t="s">
        <v>22</v>
      </c>
      <c r="B3" s="19"/>
      <c r="C3" s="19"/>
      <c r="D3" s="19"/>
      <c r="E3" s="19"/>
      <c r="F3" s="19"/>
      <c r="G3" s="19"/>
      <c r="H3" s="19"/>
      <c r="I3" s="19"/>
      <c r="J3" s="19"/>
    </row>
    <row r="4" spans="1:13" ht="14.25" customHeight="1" thickBot="1">
      <c r="A4" s="13" t="s">
        <v>23</v>
      </c>
      <c r="B4" s="5">
        <v>2013</v>
      </c>
      <c r="C4" s="5">
        <v>2014</v>
      </c>
      <c r="D4" s="5">
        <v>2015</v>
      </c>
      <c r="E4" s="5">
        <v>2016</v>
      </c>
      <c r="F4" s="23">
        <v>2017</v>
      </c>
      <c r="G4" s="23">
        <v>2018</v>
      </c>
      <c r="H4" s="23">
        <v>2019</v>
      </c>
      <c r="I4" s="23">
        <v>2020</v>
      </c>
      <c r="J4" s="23">
        <v>2021</v>
      </c>
      <c r="K4" s="40">
        <v>2022</v>
      </c>
      <c r="L4" s="40">
        <v>2023</v>
      </c>
    </row>
    <row r="5" spans="1:13" ht="14.25" customHeight="1" thickTop="1">
      <c r="A5" s="25" t="s">
        <v>64</v>
      </c>
      <c r="B5" s="256">
        <v>36</v>
      </c>
      <c r="C5" s="256">
        <v>40</v>
      </c>
      <c r="D5" s="256">
        <v>43</v>
      </c>
      <c r="E5" s="256">
        <v>37</v>
      </c>
      <c r="F5" s="256">
        <v>41</v>
      </c>
      <c r="G5" s="256">
        <v>39</v>
      </c>
      <c r="H5" s="256">
        <v>40</v>
      </c>
      <c r="I5" s="256">
        <v>40</v>
      </c>
      <c r="J5" s="256">
        <v>49</v>
      </c>
      <c r="K5" s="257">
        <v>53</v>
      </c>
      <c r="L5" s="257">
        <v>76.55</v>
      </c>
    </row>
    <row r="6" spans="1:13" ht="14.25" customHeight="1">
      <c r="A6" s="25" t="s">
        <v>127</v>
      </c>
      <c r="B6" s="256">
        <v>20</v>
      </c>
      <c r="C6" s="256">
        <v>23</v>
      </c>
      <c r="D6" s="256">
        <v>27</v>
      </c>
      <c r="E6" s="256">
        <v>28</v>
      </c>
      <c r="F6" s="256">
        <v>32</v>
      </c>
      <c r="G6" s="256">
        <v>38</v>
      </c>
      <c r="H6" s="256">
        <v>32</v>
      </c>
      <c r="I6" s="256">
        <v>32</v>
      </c>
      <c r="J6" s="256">
        <v>39</v>
      </c>
      <c r="K6" s="257">
        <v>42</v>
      </c>
      <c r="L6" s="257">
        <v>50.12</v>
      </c>
    </row>
    <row r="7" spans="1:13" s="26" customFormat="1" ht="14.25" customHeight="1">
      <c r="A7" s="333" t="s">
        <v>215</v>
      </c>
      <c r="B7" s="348">
        <v>14</v>
      </c>
      <c r="C7" s="348">
        <v>18</v>
      </c>
      <c r="D7" s="348">
        <v>16</v>
      </c>
      <c r="E7" s="348">
        <v>9</v>
      </c>
      <c r="F7" s="348">
        <v>9</v>
      </c>
      <c r="G7" s="348">
        <v>7</v>
      </c>
      <c r="H7" s="348">
        <v>7</v>
      </c>
      <c r="I7" s="348">
        <v>8</v>
      </c>
      <c r="J7" s="348">
        <v>12</v>
      </c>
      <c r="K7" s="349">
        <v>11</v>
      </c>
      <c r="L7" s="349">
        <f>L5-L6</f>
        <v>26.43</v>
      </c>
      <c r="M7" s="371"/>
    </row>
    <row r="8" spans="1:13" ht="14.25" customHeight="1">
      <c r="A8" s="25" t="s">
        <v>75</v>
      </c>
      <c r="B8" s="256">
        <v>0</v>
      </c>
      <c r="C8" s="256">
        <v>0</v>
      </c>
      <c r="D8" s="256">
        <v>0</v>
      </c>
      <c r="E8" s="256">
        <v>0</v>
      </c>
      <c r="F8" s="256">
        <v>0</v>
      </c>
      <c r="G8" s="256">
        <v>0</v>
      </c>
      <c r="H8" s="256">
        <v>0</v>
      </c>
      <c r="I8" s="256">
        <v>0</v>
      </c>
      <c r="J8" s="256">
        <v>0</v>
      </c>
      <c r="K8" s="257">
        <v>0</v>
      </c>
      <c r="L8" s="257">
        <v>0</v>
      </c>
    </row>
    <row r="9" spans="1:13" s="26" customFormat="1" ht="14.25" customHeight="1">
      <c r="A9" s="333" t="s">
        <v>216</v>
      </c>
      <c r="B9" s="348">
        <v>14</v>
      </c>
      <c r="C9" s="348">
        <v>18</v>
      </c>
      <c r="D9" s="348">
        <v>16</v>
      </c>
      <c r="E9" s="348">
        <v>9</v>
      </c>
      <c r="F9" s="348">
        <v>9</v>
      </c>
      <c r="G9" s="348">
        <v>7</v>
      </c>
      <c r="H9" s="348">
        <v>7</v>
      </c>
      <c r="I9" s="348">
        <v>8</v>
      </c>
      <c r="J9" s="348">
        <v>12</v>
      </c>
      <c r="K9" s="349">
        <v>11</v>
      </c>
      <c r="L9" s="349">
        <v>26</v>
      </c>
    </row>
    <row r="10" spans="1:13" s="26" customFormat="1" ht="14.25" customHeight="1">
      <c r="A10" s="333" t="s">
        <v>82</v>
      </c>
      <c r="B10" s="348">
        <v>43</v>
      </c>
      <c r="C10" s="348">
        <v>56</v>
      </c>
      <c r="D10" s="348">
        <v>77</v>
      </c>
      <c r="E10" s="348">
        <v>91</v>
      </c>
      <c r="F10" s="348">
        <v>103</v>
      </c>
      <c r="G10" s="348">
        <v>107</v>
      </c>
      <c r="H10" s="348">
        <v>120</v>
      </c>
      <c r="I10" s="348">
        <v>123</v>
      </c>
      <c r="J10" s="348">
        <v>136</v>
      </c>
      <c r="K10" s="349">
        <v>150</v>
      </c>
      <c r="L10" s="349">
        <v>173.89</v>
      </c>
    </row>
    <row r="11" spans="1:13" ht="14.25" customHeight="1">
      <c r="A11" s="25" t="s">
        <v>26</v>
      </c>
      <c r="B11" s="256">
        <v>36</v>
      </c>
      <c r="C11" s="256">
        <v>51</v>
      </c>
      <c r="D11" s="256">
        <v>70</v>
      </c>
      <c r="E11" s="256">
        <v>84</v>
      </c>
      <c r="F11" s="256">
        <v>94</v>
      </c>
      <c r="G11" s="256">
        <v>85</v>
      </c>
      <c r="H11" s="256">
        <v>91</v>
      </c>
      <c r="I11" s="256">
        <v>99</v>
      </c>
      <c r="J11" s="256">
        <v>112</v>
      </c>
      <c r="K11" s="257">
        <v>121</v>
      </c>
      <c r="L11" s="257">
        <v>145.62</v>
      </c>
    </row>
    <row r="12" spans="1:13" ht="14.25" customHeight="1">
      <c r="A12" s="25" t="s">
        <v>86</v>
      </c>
      <c r="B12" s="256">
        <v>6</v>
      </c>
      <c r="C12" s="256">
        <v>4</v>
      </c>
      <c r="D12" s="256">
        <v>7</v>
      </c>
      <c r="E12" s="256">
        <v>8</v>
      </c>
      <c r="F12" s="256">
        <v>8</v>
      </c>
      <c r="G12" s="256">
        <v>23</v>
      </c>
      <c r="H12" s="256">
        <v>29</v>
      </c>
      <c r="I12" s="256">
        <v>25</v>
      </c>
      <c r="J12" s="256">
        <v>24</v>
      </c>
      <c r="K12" s="257">
        <v>29</v>
      </c>
      <c r="L12" s="257">
        <v>28.27</v>
      </c>
    </row>
    <row r="13" spans="1:13" s="26" customFormat="1" ht="14.25" customHeight="1">
      <c r="A13" s="337" t="s">
        <v>119</v>
      </c>
      <c r="B13" s="346">
        <v>43</v>
      </c>
      <c r="C13" s="346">
        <v>56</v>
      </c>
      <c r="D13" s="346">
        <v>77</v>
      </c>
      <c r="E13" s="346">
        <v>91</v>
      </c>
      <c r="F13" s="346">
        <v>103</v>
      </c>
      <c r="G13" s="346">
        <v>107</v>
      </c>
      <c r="H13" s="346">
        <v>120</v>
      </c>
      <c r="I13" s="346">
        <v>123</v>
      </c>
      <c r="J13" s="346">
        <v>136</v>
      </c>
      <c r="K13" s="347">
        <v>150</v>
      </c>
      <c r="L13" s="347">
        <v>173.89599999999999</v>
      </c>
    </row>
  </sheetData>
  <mergeCells count="1">
    <mergeCell ref="B1:J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5F8BF-FE8E-4D30-B411-8DE4C8E34795}">
  <dimension ref="A1:M14"/>
  <sheetViews>
    <sheetView showGridLines="0" workbookViewId="0">
      <selection activeCell="M7" sqref="M7"/>
    </sheetView>
  </sheetViews>
  <sheetFormatPr defaultRowHeight="14.5"/>
  <cols>
    <col min="1" max="1" width="18.453125" customWidth="1"/>
  </cols>
  <sheetData>
    <row r="1" spans="1:13" ht="27.75" customHeight="1">
      <c r="A1" s="39" t="s">
        <v>217</v>
      </c>
      <c r="B1" s="498" t="s">
        <v>218</v>
      </c>
      <c r="C1" s="498"/>
      <c r="D1" s="498"/>
      <c r="E1" s="498"/>
      <c r="F1" s="498"/>
      <c r="G1" s="499"/>
      <c r="H1" s="499"/>
      <c r="I1" s="499"/>
      <c r="K1" s="27" t="str">
        <f>HYPERLINK("#Contents!A43","BACK TO CONTENTS")</f>
        <v>BACK TO CONTENTS</v>
      </c>
    </row>
    <row r="2" spans="1:13" ht="15">
      <c r="A2" s="35"/>
      <c r="B2" s="19"/>
      <c r="C2" s="19"/>
      <c r="D2" s="19"/>
      <c r="E2" s="19"/>
      <c r="F2" s="19"/>
      <c r="G2" s="19"/>
      <c r="H2" s="19"/>
      <c r="I2" s="19"/>
    </row>
    <row r="3" spans="1:13">
      <c r="A3" s="39" t="s">
        <v>22</v>
      </c>
      <c r="B3" s="19"/>
      <c r="C3" s="19"/>
      <c r="D3" s="19"/>
      <c r="E3" s="19"/>
      <c r="F3" s="19"/>
      <c r="G3" s="19"/>
      <c r="H3" s="19"/>
      <c r="I3" s="19"/>
    </row>
    <row r="4" spans="1:13" ht="14.25" customHeight="1" thickBot="1">
      <c r="A4" s="17" t="s">
        <v>23</v>
      </c>
      <c r="B4" s="5">
        <v>2013</v>
      </c>
      <c r="C4" s="5">
        <v>2014</v>
      </c>
      <c r="D4" s="5">
        <v>2015</v>
      </c>
      <c r="E4" s="5">
        <v>2016</v>
      </c>
      <c r="F4" s="5">
        <v>2017</v>
      </c>
      <c r="G4" s="5">
        <v>2018</v>
      </c>
      <c r="H4" s="5">
        <v>2019</v>
      </c>
      <c r="I4" s="5">
        <v>2020</v>
      </c>
      <c r="J4" s="5">
        <v>2021</v>
      </c>
      <c r="K4" s="6">
        <v>2022</v>
      </c>
      <c r="L4" s="6">
        <v>2023</v>
      </c>
    </row>
    <row r="5" spans="1:13" ht="14.25" customHeight="1" thickTop="1">
      <c r="A5" s="12" t="s">
        <v>64</v>
      </c>
      <c r="B5" s="288">
        <v>2386</v>
      </c>
      <c r="C5" s="289">
        <v>1446</v>
      </c>
      <c r="D5" s="290">
        <v>960</v>
      </c>
      <c r="E5" s="290">
        <v>580</v>
      </c>
      <c r="F5" s="290">
        <v>715</v>
      </c>
      <c r="G5" s="290">
        <v>658</v>
      </c>
      <c r="H5" s="290">
        <v>863</v>
      </c>
      <c r="I5" s="290">
        <v>369</v>
      </c>
      <c r="J5" s="290">
        <v>439</v>
      </c>
      <c r="K5" s="291">
        <v>353</v>
      </c>
      <c r="L5" s="291">
        <v>392.017</v>
      </c>
    </row>
    <row r="6" spans="1:13" ht="14.25" customHeight="1">
      <c r="A6" s="25" t="s">
        <v>127</v>
      </c>
      <c r="B6" s="288">
        <v>2271</v>
      </c>
      <c r="C6" s="289">
        <v>1316</v>
      </c>
      <c r="D6" s="290">
        <v>835</v>
      </c>
      <c r="E6" s="290">
        <v>148</v>
      </c>
      <c r="F6" s="290">
        <v>-472</v>
      </c>
      <c r="G6" s="290">
        <v>-513</v>
      </c>
      <c r="H6" s="290">
        <v>-789</v>
      </c>
      <c r="I6" s="290">
        <v>274</v>
      </c>
      <c r="J6" s="290">
        <v>278</v>
      </c>
      <c r="K6" s="292">
        <v>232</v>
      </c>
      <c r="L6" s="292">
        <v>257.24</v>
      </c>
    </row>
    <row r="7" spans="1:13" s="26" customFormat="1" ht="14.25" customHeight="1">
      <c r="A7" s="43" t="s">
        <v>215</v>
      </c>
      <c r="B7" s="356">
        <v>116</v>
      </c>
      <c r="C7" s="353">
        <v>128</v>
      </c>
      <c r="D7" s="354">
        <v>118</v>
      </c>
      <c r="E7" s="354">
        <v>87</v>
      </c>
      <c r="F7" s="354">
        <v>243</v>
      </c>
      <c r="G7" s="354">
        <v>145</v>
      </c>
      <c r="H7" s="354">
        <v>74</v>
      </c>
      <c r="I7" s="354">
        <v>95</v>
      </c>
      <c r="J7" s="354">
        <v>161</v>
      </c>
      <c r="K7" s="355">
        <v>121</v>
      </c>
      <c r="L7" s="355">
        <v>134.77600000000001</v>
      </c>
      <c r="M7" s="371"/>
    </row>
    <row r="8" spans="1:13" ht="14.25" customHeight="1">
      <c r="A8" s="12" t="s">
        <v>75</v>
      </c>
      <c r="B8" s="288">
        <v>24</v>
      </c>
      <c r="C8" s="289">
        <v>28</v>
      </c>
      <c r="D8" s="290">
        <v>27</v>
      </c>
      <c r="E8" s="290">
        <v>16</v>
      </c>
      <c r="F8" s="290">
        <v>-25</v>
      </c>
      <c r="G8" s="290">
        <v>-33</v>
      </c>
      <c r="H8" s="290">
        <v>-7</v>
      </c>
      <c r="I8" s="290">
        <v>21</v>
      </c>
      <c r="J8" s="290">
        <v>36</v>
      </c>
      <c r="K8" s="291">
        <v>29</v>
      </c>
      <c r="L8" s="291">
        <v>11.352</v>
      </c>
    </row>
    <row r="9" spans="1:13" s="26" customFormat="1" ht="14.25" customHeight="1">
      <c r="A9" s="43" t="s">
        <v>219</v>
      </c>
      <c r="B9" s="353">
        <v>92</v>
      </c>
      <c r="C9" s="353">
        <v>101</v>
      </c>
      <c r="D9" s="354">
        <v>91</v>
      </c>
      <c r="E9" s="354">
        <v>73</v>
      </c>
      <c r="F9" s="354">
        <v>213</v>
      </c>
      <c r="G9" s="354">
        <v>111</v>
      </c>
      <c r="H9" s="354">
        <v>62</v>
      </c>
      <c r="I9" s="354">
        <v>74</v>
      </c>
      <c r="J9" s="354">
        <v>125</v>
      </c>
      <c r="K9" s="355">
        <v>91</v>
      </c>
      <c r="L9" s="419">
        <v>124</v>
      </c>
    </row>
    <row r="10" spans="1:13" s="26" customFormat="1" ht="14.25" customHeight="1">
      <c r="A10" s="43" t="s">
        <v>82</v>
      </c>
      <c r="B10" s="354">
        <v>7529</v>
      </c>
      <c r="C10" s="354">
        <v>7849</v>
      </c>
      <c r="D10" s="354">
        <v>5971</v>
      </c>
      <c r="E10" s="354">
        <v>5270</v>
      </c>
      <c r="F10" s="354">
        <v>6142</v>
      </c>
      <c r="G10" s="354">
        <v>6072</v>
      </c>
      <c r="H10" s="354">
        <v>1213</v>
      </c>
      <c r="I10" s="354">
        <v>524</v>
      </c>
      <c r="J10" s="354">
        <v>405</v>
      </c>
      <c r="K10" s="355">
        <v>571</v>
      </c>
      <c r="L10" s="355">
        <v>541.59900000000005</v>
      </c>
    </row>
    <row r="11" spans="1:13" ht="14.25" customHeight="1">
      <c r="A11" s="12" t="s">
        <v>138</v>
      </c>
      <c r="B11" s="290">
        <v>258</v>
      </c>
      <c r="C11" s="290">
        <v>249</v>
      </c>
      <c r="D11" s="290">
        <v>267</v>
      </c>
      <c r="E11" s="290">
        <v>236</v>
      </c>
      <c r="F11" s="290">
        <v>332</v>
      </c>
      <c r="G11" s="290">
        <v>352</v>
      </c>
      <c r="H11" s="290">
        <v>305</v>
      </c>
      <c r="I11" s="290">
        <v>262</v>
      </c>
      <c r="J11" s="290">
        <v>256</v>
      </c>
      <c r="K11" s="291">
        <v>256</v>
      </c>
      <c r="L11" s="291">
        <v>236.67699999999999</v>
      </c>
    </row>
    <row r="12" spans="1:13" ht="14.25" customHeight="1">
      <c r="A12" s="12" t="s">
        <v>86</v>
      </c>
      <c r="B12" s="290">
        <v>7271</v>
      </c>
      <c r="C12" s="290">
        <v>7600</v>
      </c>
      <c r="D12" s="290">
        <v>5704</v>
      </c>
      <c r="E12" s="290">
        <v>5034</v>
      </c>
      <c r="F12" s="290">
        <v>5810</v>
      </c>
      <c r="G12" s="290">
        <v>5720</v>
      </c>
      <c r="H12" s="290">
        <v>913</v>
      </c>
      <c r="I12" s="290">
        <v>261</v>
      </c>
      <c r="J12" s="290">
        <v>148</v>
      </c>
      <c r="K12" s="291">
        <v>320</v>
      </c>
      <c r="L12" s="291">
        <v>304.92</v>
      </c>
    </row>
    <row r="13" spans="1:13" s="26" customFormat="1" ht="21.75" customHeight="1">
      <c r="A13" s="350" t="s">
        <v>220</v>
      </c>
      <c r="B13" s="351">
        <v>7529</v>
      </c>
      <c r="C13" s="351">
        <v>7849</v>
      </c>
      <c r="D13" s="351">
        <v>5971</v>
      </c>
      <c r="E13" s="351">
        <v>5270</v>
      </c>
      <c r="F13" s="351">
        <v>6142</v>
      </c>
      <c r="G13" s="351">
        <v>6072</v>
      </c>
      <c r="H13" s="351">
        <v>1213</v>
      </c>
      <c r="I13" s="351">
        <v>523</v>
      </c>
      <c r="J13" s="351">
        <v>405</v>
      </c>
      <c r="K13" s="352">
        <v>576</v>
      </c>
      <c r="L13" s="352">
        <v>541.59900000000005</v>
      </c>
    </row>
    <row r="14" spans="1:13">
      <c r="K14" s="370"/>
    </row>
  </sheetData>
  <mergeCells count="1">
    <mergeCell ref="B1:I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176B6-94B4-4ECF-9CA4-712A0E873EC8}">
  <dimension ref="A1:L13"/>
  <sheetViews>
    <sheetView showGridLines="0" workbookViewId="0">
      <selection activeCell="O12" sqref="O12"/>
    </sheetView>
  </sheetViews>
  <sheetFormatPr defaultRowHeight="14.5"/>
  <cols>
    <col min="1" max="1" width="24.54296875" bestFit="1" customWidth="1"/>
  </cols>
  <sheetData>
    <row r="1" spans="1:12" ht="30" customHeight="1">
      <c r="A1" s="39" t="s">
        <v>221</v>
      </c>
      <c r="B1" s="500" t="s">
        <v>222</v>
      </c>
      <c r="C1" s="500"/>
      <c r="D1" s="500"/>
      <c r="E1" s="500"/>
      <c r="F1" s="500"/>
      <c r="G1" s="499"/>
      <c r="H1" s="499"/>
      <c r="I1" s="499"/>
      <c r="K1" s="27" t="str">
        <f>HYPERLINK("#Contents!A43","BACK TO CONTENTS")</f>
        <v>BACK TO CONTENTS</v>
      </c>
    </row>
    <row r="2" spans="1:12" ht="15">
      <c r="A2" s="35"/>
      <c r="B2" s="19"/>
      <c r="C2" s="19"/>
      <c r="D2" s="19"/>
      <c r="E2" s="19"/>
      <c r="F2" s="19"/>
      <c r="G2" s="19"/>
      <c r="H2" s="19"/>
      <c r="I2" s="19"/>
    </row>
    <row r="3" spans="1:12">
      <c r="A3" s="39" t="s">
        <v>22</v>
      </c>
      <c r="B3" s="19"/>
      <c r="C3" s="19"/>
      <c r="D3" s="19"/>
      <c r="E3" s="19"/>
      <c r="F3" s="19"/>
      <c r="G3" s="19"/>
      <c r="H3" s="19"/>
      <c r="I3" s="19"/>
    </row>
    <row r="4" spans="1:12" ht="14.25" customHeight="1" thickBot="1">
      <c r="A4" s="17" t="s">
        <v>23</v>
      </c>
      <c r="B4" s="5">
        <v>2013</v>
      </c>
      <c r="C4" s="5">
        <v>2014</v>
      </c>
      <c r="D4" s="5">
        <v>2015</v>
      </c>
      <c r="E4" s="5">
        <v>2016</v>
      </c>
      <c r="F4" s="5">
        <v>2017</v>
      </c>
      <c r="G4" s="5">
        <v>2018</v>
      </c>
      <c r="H4" s="5">
        <v>2019</v>
      </c>
      <c r="I4" s="5">
        <v>2020</v>
      </c>
      <c r="J4" s="5">
        <v>2021</v>
      </c>
      <c r="K4" s="6">
        <v>2022</v>
      </c>
      <c r="L4" s="6">
        <v>2023</v>
      </c>
    </row>
    <row r="5" spans="1:12" ht="14.25" customHeight="1" thickTop="1">
      <c r="A5" s="25" t="s">
        <v>64</v>
      </c>
      <c r="B5" s="213">
        <v>90</v>
      </c>
      <c r="C5" s="213">
        <v>54</v>
      </c>
      <c r="D5" s="213">
        <v>66</v>
      </c>
      <c r="E5" s="213">
        <v>70</v>
      </c>
      <c r="F5" s="213">
        <v>40</v>
      </c>
      <c r="G5" s="213">
        <v>41</v>
      </c>
      <c r="H5" s="213">
        <v>37</v>
      </c>
      <c r="I5" s="213">
        <v>20</v>
      </c>
      <c r="J5" s="213">
        <v>18</v>
      </c>
      <c r="K5" s="214">
        <v>20</v>
      </c>
      <c r="L5" s="214">
        <v>39.247999999999998</v>
      </c>
    </row>
    <row r="6" spans="1:12" ht="14.25" customHeight="1">
      <c r="A6" s="25" t="s">
        <v>127</v>
      </c>
      <c r="B6" s="213">
        <v>77</v>
      </c>
      <c r="C6" s="213">
        <v>43</v>
      </c>
      <c r="D6" s="213">
        <v>52</v>
      </c>
      <c r="E6" s="213">
        <v>65</v>
      </c>
      <c r="F6" s="213">
        <v>-37</v>
      </c>
      <c r="G6" s="213">
        <v>-28</v>
      </c>
      <c r="H6" s="213">
        <v>-33</v>
      </c>
      <c r="I6" s="213">
        <v>-2</v>
      </c>
      <c r="J6" s="213">
        <v>14</v>
      </c>
      <c r="K6" s="214">
        <v>18</v>
      </c>
      <c r="L6" s="214">
        <v>31.88</v>
      </c>
    </row>
    <row r="7" spans="1:12" s="26" customFormat="1" ht="14.25" customHeight="1">
      <c r="A7" s="333" t="s">
        <v>215</v>
      </c>
      <c r="B7" s="334">
        <v>13</v>
      </c>
      <c r="C7" s="334">
        <v>12</v>
      </c>
      <c r="D7" s="334">
        <v>14</v>
      </c>
      <c r="E7" s="334">
        <v>4</v>
      </c>
      <c r="F7" s="334">
        <v>3</v>
      </c>
      <c r="G7" s="334">
        <v>13</v>
      </c>
      <c r="H7" s="334">
        <v>4</v>
      </c>
      <c r="I7" s="334">
        <v>4</v>
      </c>
      <c r="J7" s="334">
        <v>4</v>
      </c>
      <c r="K7" s="336">
        <v>2</v>
      </c>
      <c r="L7" s="336">
        <v>7.36</v>
      </c>
    </row>
    <row r="8" spans="1:12" ht="14.25" customHeight="1">
      <c r="A8" s="25" t="s">
        <v>75</v>
      </c>
      <c r="B8" s="213">
        <v>4</v>
      </c>
      <c r="C8" s="213">
        <v>3</v>
      </c>
      <c r="D8" s="213">
        <v>1</v>
      </c>
      <c r="E8" s="213">
        <v>2</v>
      </c>
      <c r="F8" s="213">
        <v>-1</v>
      </c>
      <c r="G8" s="213">
        <v>-3</v>
      </c>
      <c r="H8" s="213">
        <v>1</v>
      </c>
      <c r="I8" s="213">
        <v>1</v>
      </c>
      <c r="J8" s="213">
        <v>1</v>
      </c>
      <c r="K8" s="214">
        <v>1</v>
      </c>
      <c r="L8" s="214">
        <v>0.47899999999999998</v>
      </c>
    </row>
    <row r="9" spans="1:12" s="26" customFormat="1" ht="14.25" customHeight="1">
      <c r="A9" s="333" t="s">
        <v>219</v>
      </c>
      <c r="B9" s="334">
        <v>9</v>
      </c>
      <c r="C9" s="334">
        <v>7</v>
      </c>
      <c r="D9" s="334">
        <v>10</v>
      </c>
      <c r="E9" s="334">
        <v>4</v>
      </c>
      <c r="F9" s="334">
        <v>3</v>
      </c>
      <c r="G9" s="334">
        <v>10</v>
      </c>
      <c r="H9" s="334">
        <v>5</v>
      </c>
      <c r="I9" s="334">
        <v>3</v>
      </c>
      <c r="J9" s="334">
        <v>3</v>
      </c>
      <c r="K9" s="336">
        <v>1</v>
      </c>
      <c r="L9" s="420">
        <v>7</v>
      </c>
    </row>
    <row r="10" spans="1:12" s="26" customFormat="1" ht="14.25" customHeight="1">
      <c r="A10" s="333" t="s">
        <v>82</v>
      </c>
      <c r="B10" s="334">
        <v>72</v>
      </c>
      <c r="C10" s="334">
        <v>58</v>
      </c>
      <c r="D10" s="334">
        <v>81</v>
      </c>
      <c r="E10" s="334">
        <v>83</v>
      </c>
      <c r="F10" s="334">
        <v>78</v>
      </c>
      <c r="G10" s="334">
        <v>95</v>
      </c>
      <c r="H10" s="334">
        <v>239</v>
      </c>
      <c r="I10" s="334">
        <v>45</v>
      </c>
      <c r="J10" s="334">
        <v>42</v>
      </c>
      <c r="K10" s="336">
        <v>49</v>
      </c>
      <c r="L10" s="336">
        <v>74.760000000000005</v>
      </c>
    </row>
    <row r="11" spans="1:12" ht="14.25" customHeight="1">
      <c r="A11" s="25" t="s">
        <v>138</v>
      </c>
      <c r="B11" s="213">
        <v>35</v>
      </c>
      <c r="C11" s="213">
        <v>38</v>
      </c>
      <c r="D11" s="213">
        <v>38</v>
      </c>
      <c r="E11" s="213">
        <v>45</v>
      </c>
      <c r="F11" s="213">
        <v>26</v>
      </c>
      <c r="G11" s="213">
        <v>33</v>
      </c>
      <c r="H11" s="213">
        <v>32</v>
      </c>
      <c r="I11" s="213">
        <v>35</v>
      </c>
      <c r="J11" s="213">
        <v>28</v>
      </c>
      <c r="K11" s="214">
        <v>29</v>
      </c>
      <c r="L11" s="214">
        <v>33.506999999999998</v>
      </c>
    </row>
    <row r="12" spans="1:12" ht="14.25" customHeight="1">
      <c r="A12" s="25" t="s">
        <v>86</v>
      </c>
      <c r="B12" s="213">
        <v>37</v>
      </c>
      <c r="C12" s="213">
        <v>20</v>
      </c>
      <c r="D12" s="213">
        <v>43</v>
      </c>
      <c r="E12" s="213">
        <v>38</v>
      </c>
      <c r="F12" s="213">
        <v>52</v>
      </c>
      <c r="G12" s="213">
        <v>62</v>
      </c>
      <c r="H12" s="213">
        <v>206</v>
      </c>
      <c r="I12" s="213">
        <v>11</v>
      </c>
      <c r="J12" s="213">
        <v>15</v>
      </c>
      <c r="K12" s="214">
        <v>20</v>
      </c>
      <c r="L12" s="214">
        <v>41.256</v>
      </c>
    </row>
    <row r="13" spans="1:12" s="26" customFormat="1" ht="14.25" customHeight="1">
      <c r="A13" s="337" t="s">
        <v>223</v>
      </c>
      <c r="B13" s="338">
        <v>72</v>
      </c>
      <c r="C13" s="338">
        <v>58</v>
      </c>
      <c r="D13" s="338">
        <v>81</v>
      </c>
      <c r="E13" s="338">
        <v>83</v>
      </c>
      <c r="F13" s="338">
        <v>78</v>
      </c>
      <c r="G13" s="338">
        <v>95</v>
      </c>
      <c r="H13" s="338">
        <v>239</v>
      </c>
      <c r="I13" s="338">
        <v>45</v>
      </c>
      <c r="J13" s="338">
        <v>43</v>
      </c>
      <c r="K13" s="339">
        <v>49</v>
      </c>
      <c r="L13" s="339">
        <v>74.760000000000005</v>
      </c>
    </row>
  </sheetData>
  <mergeCells count="1">
    <mergeCell ref="B1:I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7EE2B-6235-4328-895A-7DBF1A4BA3E1}">
  <dimension ref="A1:M15"/>
  <sheetViews>
    <sheetView showGridLines="0" workbookViewId="0">
      <selection activeCell="L13" sqref="L13"/>
    </sheetView>
  </sheetViews>
  <sheetFormatPr defaultRowHeight="14.5"/>
  <cols>
    <col min="1" max="1" width="20.36328125" customWidth="1"/>
  </cols>
  <sheetData>
    <row r="1" spans="1:13" ht="15" customHeight="1">
      <c r="A1" s="39" t="s">
        <v>224</v>
      </c>
      <c r="B1" s="501" t="s">
        <v>297</v>
      </c>
      <c r="C1" s="501"/>
      <c r="D1" s="501"/>
      <c r="E1" s="501"/>
      <c r="F1" s="501"/>
      <c r="G1" s="501"/>
      <c r="H1" s="501"/>
      <c r="I1" s="501"/>
      <c r="J1" s="501"/>
      <c r="M1" s="27" t="str">
        <f>HYPERLINK("#Contents!A43","BACK TO CONTENTS")</f>
        <v>BACK TO CONTENTS</v>
      </c>
    </row>
    <row r="3" spans="1:13">
      <c r="A3" s="39" t="s">
        <v>22</v>
      </c>
    </row>
    <row r="4" spans="1:13" ht="14.25" customHeight="1" thickBot="1">
      <c r="A4" s="13" t="s">
        <v>443</v>
      </c>
      <c r="B4" s="5">
        <v>2013</v>
      </c>
      <c r="C4" s="5">
        <v>2014</v>
      </c>
      <c r="D4" s="5">
        <v>2015</v>
      </c>
      <c r="E4" s="5">
        <v>2016</v>
      </c>
      <c r="F4" s="5">
        <v>2017</v>
      </c>
      <c r="G4" s="5">
        <v>2018</v>
      </c>
      <c r="H4" s="5">
        <v>2019</v>
      </c>
      <c r="I4" s="14">
        <v>2020</v>
      </c>
      <c r="J4" s="5">
        <v>2021</v>
      </c>
      <c r="K4" s="6">
        <v>2022</v>
      </c>
      <c r="L4" s="6">
        <v>2023</v>
      </c>
    </row>
    <row r="5" spans="1:13" ht="14.25" customHeight="1" thickTop="1">
      <c r="A5" s="25" t="s">
        <v>64</v>
      </c>
      <c r="B5" s="462"/>
      <c r="C5" s="462"/>
      <c r="D5" s="462"/>
      <c r="E5" s="462"/>
      <c r="F5" s="462"/>
      <c r="G5" s="462"/>
      <c r="H5" s="213">
        <v>131</v>
      </c>
      <c r="I5" s="213">
        <v>174</v>
      </c>
      <c r="J5" s="213">
        <v>146</v>
      </c>
      <c r="K5" s="293">
        <v>114</v>
      </c>
      <c r="L5" s="293">
        <v>128.05799999999999</v>
      </c>
    </row>
    <row r="6" spans="1:13" ht="14.25" customHeight="1">
      <c r="A6" s="25" t="s">
        <v>127</v>
      </c>
      <c r="B6" s="462"/>
      <c r="C6" s="462"/>
      <c r="D6" s="462"/>
      <c r="E6" s="462"/>
      <c r="F6" s="462"/>
      <c r="G6" s="462"/>
      <c r="H6" s="213">
        <v>119</v>
      </c>
      <c r="I6" s="213">
        <v>148</v>
      </c>
      <c r="J6" s="213">
        <v>98</v>
      </c>
      <c r="K6" s="293">
        <v>85</v>
      </c>
      <c r="L6" s="293">
        <v>92.632999999999996</v>
      </c>
    </row>
    <row r="7" spans="1:13" s="26" customFormat="1" ht="14.25" customHeight="1">
      <c r="A7" s="333" t="s">
        <v>215</v>
      </c>
      <c r="B7" s="471"/>
      <c r="C7" s="471"/>
      <c r="D7" s="471"/>
      <c r="E7" s="471"/>
      <c r="F7" s="471"/>
      <c r="G7" s="471"/>
      <c r="H7" s="335">
        <v>14</v>
      </c>
      <c r="I7" s="335">
        <v>26</v>
      </c>
      <c r="J7" s="334">
        <v>48</v>
      </c>
      <c r="K7" s="358">
        <v>29</v>
      </c>
      <c r="L7" s="358">
        <v>35.423999999999999</v>
      </c>
    </row>
    <row r="8" spans="1:13" ht="14.25" customHeight="1">
      <c r="A8" s="25" t="s">
        <v>75</v>
      </c>
      <c r="B8" s="462"/>
      <c r="C8" s="462"/>
      <c r="D8" s="462"/>
      <c r="E8" s="462"/>
      <c r="F8" s="462"/>
      <c r="G8" s="462"/>
      <c r="H8" s="249"/>
      <c r="I8" s="249"/>
      <c r="J8" s="213">
        <v>10</v>
      </c>
      <c r="K8" s="293">
        <v>8</v>
      </c>
      <c r="L8" s="293">
        <v>-3.8420000000000001</v>
      </c>
    </row>
    <row r="9" spans="1:13" s="26" customFormat="1" ht="14.25" customHeight="1">
      <c r="A9" s="333" t="s">
        <v>216</v>
      </c>
      <c r="B9" s="463"/>
      <c r="C9" s="463"/>
      <c r="D9" s="463"/>
      <c r="E9" s="463"/>
      <c r="F9" s="463"/>
      <c r="G9" s="463"/>
      <c r="H9" s="334"/>
      <c r="I9" s="334"/>
      <c r="J9" s="334">
        <v>37</v>
      </c>
      <c r="K9" s="358">
        <v>21</v>
      </c>
      <c r="L9" s="421">
        <v>39</v>
      </c>
    </row>
    <row r="10" spans="1:13" s="26" customFormat="1" ht="14.25" customHeight="1">
      <c r="A10" s="333" t="s">
        <v>82</v>
      </c>
      <c r="B10" s="463"/>
      <c r="C10" s="463"/>
      <c r="D10" s="463"/>
      <c r="E10" s="463"/>
      <c r="F10" s="463"/>
      <c r="G10" s="463"/>
      <c r="H10" s="334">
        <v>47</v>
      </c>
      <c r="I10" s="334">
        <v>44</v>
      </c>
      <c r="J10" s="334">
        <v>96</v>
      </c>
      <c r="K10" s="358">
        <v>48</v>
      </c>
      <c r="L10" s="358">
        <v>50.78</v>
      </c>
    </row>
    <row r="11" spans="1:13" ht="14.25" customHeight="1">
      <c r="A11" s="25" t="s">
        <v>26</v>
      </c>
      <c r="B11" s="462"/>
      <c r="C11" s="462"/>
      <c r="D11" s="462"/>
      <c r="E11" s="462"/>
      <c r="F11" s="462"/>
      <c r="G11" s="462"/>
      <c r="H11" s="213">
        <v>16</v>
      </c>
      <c r="I11" s="213">
        <v>23</v>
      </c>
      <c r="J11" s="213">
        <v>48</v>
      </c>
      <c r="K11" s="293">
        <v>23</v>
      </c>
      <c r="L11" s="293">
        <v>29</v>
      </c>
    </row>
    <row r="12" spans="1:13" ht="14.25" customHeight="1">
      <c r="A12" s="25" t="s">
        <v>86</v>
      </c>
      <c r="B12" s="462"/>
      <c r="C12" s="462"/>
      <c r="D12" s="462"/>
      <c r="E12" s="462"/>
      <c r="F12" s="462"/>
      <c r="G12" s="462"/>
      <c r="H12" s="213">
        <v>31</v>
      </c>
      <c r="I12" s="213">
        <v>20</v>
      </c>
      <c r="J12" s="213">
        <v>47</v>
      </c>
      <c r="K12" s="293">
        <v>26</v>
      </c>
      <c r="L12" s="293">
        <v>22.24</v>
      </c>
    </row>
    <row r="13" spans="1:13" s="26" customFormat="1" ht="14.25" customHeight="1">
      <c r="A13" s="337" t="s">
        <v>225</v>
      </c>
      <c r="B13" s="472"/>
      <c r="C13" s="472"/>
      <c r="D13" s="472"/>
      <c r="E13" s="472"/>
      <c r="F13" s="472"/>
      <c r="G13" s="472"/>
      <c r="H13" s="338">
        <f>H11+H12</f>
        <v>47</v>
      </c>
      <c r="I13" s="338">
        <v>43</v>
      </c>
      <c r="J13" s="338">
        <v>95</v>
      </c>
      <c r="K13" s="357">
        <f>K11+K12</f>
        <v>49</v>
      </c>
      <c r="L13" s="357">
        <v>50.78</v>
      </c>
    </row>
    <row r="15" spans="1:13">
      <c r="A15" s="180" t="s">
        <v>336</v>
      </c>
      <c r="B15" s="181" t="s">
        <v>442</v>
      </c>
      <c r="K15" s="169"/>
    </row>
  </sheetData>
  <mergeCells count="1">
    <mergeCell ref="B1:J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90E55-5542-4313-95FB-42C49AC8726C}">
  <dimension ref="A1:L13"/>
  <sheetViews>
    <sheetView showGridLines="0" workbookViewId="0">
      <selection activeCell="K1" sqref="K1"/>
    </sheetView>
  </sheetViews>
  <sheetFormatPr defaultRowHeight="14.5"/>
  <cols>
    <col min="1" max="1" width="21.81640625" bestFit="1" customWidth="1"/>
  </cols>
  <sheetData>
    <row r="1" spans="1:12" ht="33.75" customHeight="1">
      <c r="A1" s="39" t="s">
        <v>226</v>
      </c>
      <c r="B1" s="500" t="s">
        <v>227</v>
      </c>
      <c r="C1" s="500"/>
      <c r="D1" s="500"/>
      <c r="E1" s="500"/>
      <c r="F1" s="500"/>
      <c r="G1" s="499"/>
      <c r="H1" s="499"/>
      <c r="I1" s="499"/>
      <c r="K1" s="27" t="str">
        <f>HYPERLINK("#Contents!A43","BACK TO CONTENTS")</f>
        <v>BACK TO CONTENTS</v>
      </c>
    </row>
    <row r="3" spans="1:12">
      <c r="A3" s="39" t="s">
        <v>22</v>
      </c>
    </row>
    <row r="4" spans="1:12" ht="14.25" customHeight="1" thickBot="1">
      <c r="A4" s="13" t="s">
        <v>23</v>
      </c>
      <c r="B4" s="5">
        <v>2013</v>
      </c>
      <c r="C4" s="5">
        <v>2014</v>
      </c>
      <c r="D4" s="5">
        <v>2015</v>
      </c>
      <c r="E4" s="5">
        <v>2016</v>
      </c>
      <c r="F4" s="5">
        <v>2017</v>
      </c>
      <c r="G4" s="5">
        <v>2018</v>
      </c>
      <c r="H4" s="5">
        <v>2019</v>
      </c>
      <c r="I4" s="14">
        <v>2020</v>
      </c>
      <c r="J4" s="5">
        <v>2021</v>
      </c>
      <c r="K4" s="6">
        <v>2022</v>
      </c>
      <c r="L4" s="6">
        <v>2023</v>
      </c>
    </row>
    <row r="5" spans="1:12" ht="14.25" customHeight="1" thickTop="1">
      <c r="A5" s="25" t="s">
        <v>64</v>
      </c>
      <c r="B5" s="213">
        <v>27</v>
      </c>
      <c r="C5" s="213">
        <v>29</v>
      </c>
      <c r="D5" s="213">
        <v>30</v>
      </c>
      <c r="E5" s="213">
        <v>48</v>
      </c>
      <c r="F5" s="213">
        <v>35</v>
      </c>
      <c r="G5" s="213">
        <v>33</v>
      </c>
      <c r="H5" s="213">
        <v>30</v>
      </c>
      <c r="I5" s="213">
        <v>15</v>
      </c>
      <c r="J5" s="213">
        <v>20</v>
      </c>
      <c r="K5" s="293">
        <v>16</v>
      </c>
      <c r="L5" s="293">
        <v>43.73</v>
      </c>
    </row>
    <row r="6" spans="1:12" ht="14.25" customHeight="1">
      <c r="A6" s="25" t="s">
        <v>127</v>
      </c>
      <c r="B6" s="213">
        <v>20</v>
      </c>
      <c r="C6" s="213">
        <v>21</v>
      </c>
      <c r="D6" s="213">
        <v>22</v>
      </c>
      <c r="E6" s="213">
        <v>27</v>
      </c>
      <c r="F6" s="213">
        <v>30</v>
      </c>
      <c r="G6" s="213">
        <v>33</v>
      </c>
      <c r="H6" s="213">
        <v>29</v>
      </c>
      <c r="I6" s="213">
        <v>21</v>
      </c>
      <c r="J6" s="213">
        <v>19</v>
      </c>
      <c r="K6" s="293">
        <v>18</v>
      </c>
      <c r="L6" s="293">
        <v>22.25</v>
      </c>
    </row>
    <row r="7" spans="1:12" s="26" customFormat="1" ht="14.25" customHeight="1">
      <c r="A7" s="333" t="s">
        <v>215</v>
      </c>
      <c r="B7" s="335">
        <v>7</v>
      </c>
      <c r="C7" s="335">
        <v>9</v>
      </c>
      <c r="D7" s="335">
        <v>8</v>
      </c>
      <c r="E7" s="335">
        <v>21</v>
      </c>
      <c r="F7" s="335">
        <v>12</v>
      </c>
      <c r="G7" s="335">
        <v>-1</v>
      </c>
      <c r="H7" s="335">
        <v>2</v>
      </c>
      <c r="I7" s="335">
        <v>-6</v>
      </c>
      <c r="J7" s="334">
        <v>1</v>
      </c>
      <c r="K7" s="358">
        <v>-2</v>
      </c>
      <c r="L7" s="358">
        <v>21.48</v>
      </c>
    </row>
    <row r="8" spans="1:12" ht="14.25" customHeight="1">
      <c r="A8" s="25" t="s">
        <v>75</v>
      </c>
      <c r="B8" s="213">
        <v>2</v>
      </c>
      <c r="C8" s="213">
        <v>1</v>
      </c>
      <c r="D8" s="213">
        <v>2</v>
      </c>
      <c r="E8" s="213">
        <v>5</v>
      </c>
      <c r="F8" s="213">
        <v>9</v>
      </c>
      <c r="G8" s="213">
        <v>2</v>
      </c>
      <c r="H8" s="249">
        <v>1</v>
      </c>
      <c r="I8" s="249">
        <v>-1</v>
      </c>
      <c r="J8" s="213">
        <v>0</v>
      </c>
      <c r="K8" s="293">
        <v>-1</v>
      </c>
      <c r="L8" s="293">
        <v>-5.37</v>
      </c>
    </row>
    <row r="9" spans="1:12" s="26" customFormat="1" ht="14.25" customHeight="1">
      <c r="A9" s="333" t="s">
        <v>216</v>
      </c>
      <c r="B9" s="334">
        <v>6</v>
      </c>
      <c r="C9" s="334">
        <v>8</v>
      </c>
      <c r="D9" s="334">
        <v>6</v>
      </c>
      <c r="E9" s="334">
        <v>16</v>
      </c>
      <c r="F9" s="334">
        <v>3</v>
      </c>
      <c r="G9" s="334">
        <v>-1</v>
      </c>
      <c r="H9" s="334">
        <v>5</v>
      </c>
      <c r="I9" s="334">
        <v>-6</v>
      </c>
      <c r="J9" s="334">
        <v>1</v>
      </c>
      <c r="K9" s="358">
        <v>1</v>
      </c>
      <c r="L9" s="358">
        <v>16.11</v>
      </c>
    </row>
    <row r="10" spans="1:12" s="26" customFormat="1" ht="14.25" customHeight="1">
      <c r="A10" s="333" t="s">
        <v>82</v>
      </c>
      <c r="B10" s="334">
        <v>54</v>
      </c>
      <c r="C10" s="334">
        <v>59</v>
      </c>
      <c r="D10" s="334">
        <v>137</v>
      </c>
      <c r="E10" s="334">
        <v>76</v>
      </c>
      <c r="F10" s="334">
        <v>59</v>
      </c>
      <c r="G10" s="334">
        <v>40</v>
      </c>
      <c r="H10" s="334">
        <v>5</v>
      </c>
      <c r="I10" s="334">
        <v>38</v>
      </c>
      <c r="J10" s="334">
        <v>38</v>
      </c>
      <c r="K10" s="358">
        <v>46</v>
      </c>
      <c r="L10" s="358">
        <v>72.67</v>
      </c>
    </row>
    <row r="11" spans="1:12" ht="14.25" customHeight="1">
      <c r="A11" s="25" t="s">
        <v>26</v>
      </c>
      <c r="B11" s="213">
        <v>14</v>
      </c>
      <c r="C11" s="213">
        <v>22</v>
      </c>
      <c r="D11" s="213">
        <v>22</v>
      </c>
      <c r="E11" s="213">
        <v>31</v>
      </c>
      <c r="F11" s="213">
        <v>27</v>
      </c>
      <c r="G11" s="213">
        <v>21</v>
      </c>
      <c r="H11" s="213">
        <v>20</v>
      </c>
      <c r="I11" s="213">
        <v>14</v>
      </c>
      <c r="J11" s="213">
        <v>9</v>
      </c>
      <c r="K11" s="293">
        <v>17</v>
      </c>
      <c r="L11" s="293">
        <v>36.067999999999998</v>
      </c>
    </row>
    <row r="12" spans="1:12" ht="14.25" customHeight="1">
      <c r="A12" s="25" t="s">
        <v>86</v>
      </c>
      <c r="B12" s="213">
        <v>40</v>
      </c>
      <c r="C12" s="213">
        <v>38</v>
      </c>
      <c r="D12" s="213">
        <v>115</v>
      </c>
      <c r="E12" s="213">
        <v>45</v>
      </c>
      <c r="F12" s="213">
        <v>32</v>
      </c>
      <c r="G12" s="213">
        <v>18</v>
      </c>
      <c r="H12" s="213">
        <v>25</v>
      </c>
      <c r="I12" s="213">
        <v>24</v>
      </c>
      <c r="J12" s="213">
        <v>30</v>
      </c>
      <c r="K12" s="293">
        <v>29</v>
      </c>
      <c r="L12" s="293">
        <v>36.6</v>
      </c>
    </row>
    <row r="13" spans="1:12" s="26" customFormat="1" ht="14.25" customHeight="1">
      <c r="A13" s="337" t="s">
        <v>225</v>
      </c>
      <c r="B13" s="338">
        <v>54</v>
      </c>
      <c r="C13" s="338">
        <v>59</v>
      </c>
      <c r="D13" s="338">
        <v>137</v>
      </c>
      <c r="E13" s="338">
        <v>76</v>
      </c>
      <c r="F13" s="338">
        <v>59</v>
      </c>
      <c r="G13" s="338">
        <v>40</v>
      </c>
      <c r="H13" s="338">
        <v>45</v>
      </c>
      <c r="I13" s="338">
        <v>38</v>
      </c>
      <c r="J13" s="338">
        <f>J11+J12</f>
        <v>39</v>
      </c>
      <c r="K13" s="339">
        <f>K11+K12</f>
        <v>46</v>
      </c>
      <c r="L13" s="339">
        <v>72.67</v>
      </c>
    </row>
  </sheetData>
  <mergeCells count="1">
    <mergeCell ref="B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AF449-97AF-4999-AC33-33B66EE5D15C}">
  <dimension ref="A1:L15"/>
  <sheetViews>
    <sheetView showGridLines="0" workbookViewId="0">
      <selection activeCell="K1" sqref="K1"/>
    </sheetView>
  </sheetViews>
  <sheetFormatPr defaultRowHeight="14.5"/>
  <cols>
    <col min="1" max="1" width="20.453125" bestFit="1" customWidth="1"/>
  </cols>
  <sheetData>
    <row r="1" spans="1:12">
      <c r="A1" s="39" t="s">
        <v>228</v>
      </c>
      <c r="B1" s="501" t="s">
        <v>449</v>
      </c>
      <c r="C1" s="501"/>
      <c r="D1" s="501"/>
      <c r="E1" s="501"/>
      <c r="F1" s="501"/>
      <c r="G1" s="19"/>
      <c r="H1" s="19"/>
      <c r="K1" s="27" t="str">
        <f>HYPERLINK("#Contents!A43","BACK TO CONTENTS")</f>
        <v>BACK TO CONTENTS</v>
      </c>
    </row>
    <row r="3" spans="1:12">
      <c r="A3" s="39" t="s">
        <v>22</v>
      </c>
    </row>
    <row r="4" spans="1:12" ht="14.25" customHeight="1" thickBot="1">
      <c r="A4" s="13" t="s">
        <v>443</v>
      </c>
      <c r="B4" s="5">
        <v>2013</v>
      </c>
      <c r="C4" s="5">
        <v>2014</v>
      </c>
      <c r="D4" s="5">
        <v>2015</v>
      </c>
      <c r="E4" s="5">
        <v>2016</v>
      </c>
      <c r="F4" s="5">
        <v>2017</v>
      </c>
      <c r="G4" s="5">
        <v>2018</v>
      </c>
      <c r="H4" s="5">
        <v>2019</v>
      </c>
      <c r="I4" s="14">
        <v>2020</v>
      </c>
      <c r="J4" s="5">
        <v>2021</v>
      </c>
      <c r="K4" s="6">
        <v>2022</v>
      </c>
      <c r="L4" s="6">
        <v>2023</v>
      </c>
    </row>
    <row r="5" spans="1:12" ht="14.25" customHeight="1" thickTop="1">
      <c r="A5" s="25" t="s">
        <v>64</v>
      </c>
      <c r="B5" s="462"/>
      <c r="C5" s="462"/>
      <c r="D5" s="462"/>
      <c r="E5" s="462"/>
      <c r="F5" s="213">
        <v>2</v>
      </c>
      <c r="G5" s="213">
        <v>3</v>
      </c>
      <c r="H5" s="213">
        <v>7</v>
      </c>
      <c r="I5" s="213">
        <v>6</v>
      </c>
      <c r="J5" s="213">
        <v>6</v>
      </c>
      <c r="K5" s="293">
        <v>16</v>
      </c>
      <c r="L5" s="293">
        <v>11.42</v>
      </c>
    </row>
    <row r="6" spans="1:12" ht="14.25" customHeight="1">
      <c r="A6" s="25" t="s">
        <v>127</v>
      </c>
      <c r="B6" s="462"/>
      <c r="C6" s="462"/>
      <c r="D6" s="462"/>
      <c r="E6" s="462"/>
      <c r="F6" s="213">
        <v>1</v>
      </c>
      <c r="G6" s="213">
        <v>2</v>
      </c>
      <c r="H6" s="213">
        <v>23</v>
      </c>
      <c r="I6" s="213">
        <v>10</v>
      </c>
      <c r="J6" s="213">
        <v>10</v>
      </c>
      <c r="K6" s="293">
        <v>17</v>
      </c>
      <c r="L6" s="293">
        <v>13.48</v>
      </c>
    </row>
    <row r="7" spans="1:12" s="26" customFormat="1" ht="14.25" customHeight="1">
      <c r="A7" s="333" t="s">
        <v>215</v>
      </c>
      <c r="B7" s="471"/>
      <c r="C7" s="471"/>
      <c r="D7" s="471"/>
      <c r="E7" s="471"/>
      <c r="F7" s="335">
        <v>1</v>
      </c>
      <c r="G7" s="335">
        <v>1</v>
      </c>
      <c r="H7" s="335">
        <v>-16</v>
      </c>
      <c r="I7" s="335">
        <v>-4</v>
      </c>
      <c r="J7" s="334">
        <v>-4</v>
      </c>
      <c r="K7" s="358">
        <v>-1</v>
      </c>
      <c r="L7" s="358">
        <v>-2.0499999999999998</v>
      </c>
    </row>
    <row r="8" spans="1:12" ht="14.25" customHeight="1">
      <c r="A8" s="25" t="s">
        <v>75</v>
      </c>
      <c r="B8" s="462"/>
      <c r="C8" s="462"/>
      <c r="D8" s="462"/>
      <c r="E8" s="462"/>
      <c r="F8" s="213"/>
      <c r="G8" s="213"/>
      <c r="H8" s="249"/>
      <c r="I8" s="249"/>
      <c r="J8" s="213">
        <v>0</v>
      </c>
      <c r="K8" s="293">
        <v>0</v>
      </c>
      <c r="L8" s="293">
        <v>0</v>
      </c>
    </row>
    <row r="9" spans="1:12" s="26" customFormat="1" ht="14.25" customHeight="1">
      <c r="A9" s="333" t="s">
        <v>216</v>
      </c>
      <c r="B9" s="463"/>
      <c r="C9" s="463"/>
      <c r="D9" s="463"/>
      <c r="E9" s="463"/>
      <c r="F9" s="334"/>
      <c r="G9" s="334"/>
      <c r="H9" s="334"/>
      <c r="I9" s="334"/>
      <c r="J9" s="334">
        <v>-4</v>
      </c>
      <c r="K9" s="358">
        <v>-1</v>
      </c>
      <c r="L9" s="358">
        <v>-2.0499999999999998</v>
      </c>
    </row>
    <row r="10" spans="1:12" s="26" customFormat="1" ht="14.25" customHeight="1">
      <c r="A10" s="333" t="s">
        <v>82</v>
      </c>
      <c r="B10" s="463"/>
      <c r="C10" s="463"/>
      <c r="D10" s="463"/>
      <c r="E10" s="463"/>
      <c r="F10" s="334">
        <v>10</v>
      </c>
      <c r="G10" s="334">
        <v>12</v>
      </c>
      <c r="H10" s="334">
        <v>70</v>
      </c>
      <c r="I10" s="334">
        <v>69</v>
      </c>
      <c r="J10" s="334">
        <v>69</v>
      </c>
      <c r="K10" s="358">
        <v>23</v>
      </c>
      <c r="L10" s="358">
        <v>3.79</v>
      </c>
    </row>
    <row r="11" spans="1:12" ht="14.25" customHeight="1">
      <c r="A11" s="25" t="s">
        <v>26</v>
      </c>
      <c r="B11" s="462"/>
      <c r="C11" s="462"/>
      <c r="D11" s="462"/>
      <c r="E11" s="462"/>
      <c r="F11" s="213">
        <v>6</v>
      </c>
      <c r="G11" s="213">
        <v>6</v>
      </c>
      <c r="H11" s="213">
        <v>36</v>
      </c>
      <c r="I11" s="213">
        <v>32</v>
      </c>
      <c r="J11" s="213">
        <v>32</v>
      </c>
      <c r="K11" s="293">
        <v>15</v>
      </c>
      <c r="L11" s="293">
        <v>-5.44</v>
      </c>
    </row>
    <row r="12" spans="1:12" ht="14.25" customHeight="1">
      <c r="A12" s="25" t="s">
        <v>86</v>
      </c>
      <c r="B12" s="462"/>
      <c r="C12" s="462"/>
      <c r="D12" s="462"/>
      <c r="E12" s="462"/>
      <c r="F12" s="213">
        <v>5</v>
      </c>
      <c r="G12" s="213">
        <v>7</v>
      </c>
      <c r="H12" s="213">
        <v>2</v>
      </c>
      <c r="I12" s="213">
        <v>5</v>
      </c>
      <c r="J12" s="213">
        <v>5</v>
      </c>
      <c r="K12" s="293">
        <v>8</v>
      </c>
      <c r="L12" s="293">
        <v>9.2460000000000004</v>
      </c>
    </row>
    <row r="13" spans="1:12" s="26" customFormat="1" ht="14.25" customHeight="1">
      <c r="A13" s="337" t="s">
        <v>225</v>
      </c>
      <c r="B13" s="472"/>
      <c r="C13" s="472"/>
      <c r="D13" s="472"/>
      <c r="E13" s="472"/>
      <c r="F13" s="338">
        <f>F11+F12</f>
        <v>11</v>
      </c>
      <c r="G13" s="338">
        <f>G11+G12</f>
        <v>13</v>
      </c>
      <c r="H13" s="338">
        <f>H11+H12</f>
        <v>38</v>
      </c>
      <c r="I13" s="338">
        <f>I11+I12</f>
        <v>37</v>
      </c>
      <c r="J13" s="338">
        <v>37</v>
      </c>
      <c r="K13" s="357">
        <f>K12+K11</f>
        <v>23</v>
      </c>
      <c r="L13" s="357">
        <v>3.79</v>
      </c>
    </row>
    <row r="15" spans="1:12">
      <c r="A15" s="180" t="s">
        <v>336</v>
      </c>
      <c r="B15" s="181" t="s">
        <v>442</v>
      </c>
    </row>
  </sheetData>
  <mergeCells count="1">
    <mergeCell ref="B1:F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0763A-DC0A-4A50-BD31-02BAC7428B73}">
  <dimension ref="A1:M15"/>
  <sheetViews>
    <sheetView showGridLines="0" workbookViewId="0"/>
  </sheetViews>
  <sheetFormatPr defaultRowHeight="14.5"/>
  <cols>
    <col min="1" max="1" width="17.54296875" bestFit="1" customWidth="1"/>
  </cols>
  <sheetData>
    <row r="1" spans="1:13" ht="15" customHeight="1">
      <c r="A1" s="39" t="s">
        <v>229</v>
      </c>
      <c r="B1" s="502" t="s">
        <v>298</v>
      </c>
      <c r="C1" s="502"/>
      <c r="D1" s="502"/>
      <c r="E1" s="502"/>
      <c r="F1" s="502"/>
      <c r="G1" s="502"/>
      <c r="H1" s="502"/>
      <c r="I1" s="502"/>
      <c r="J1" s="502"/>
      <c r="M1" s="27" t="str">
        <f>HYPERLINK("#Contents!A43","BACK TO CONTENTS")</f>
        <v>BACK TO CONTENTS</v>
      </c>
    </row>
    <row r="3" spans="1:13">
      <c r="A3" s="39" t="s">
        <v>22</v>
      </c>
    </row>
    <row r="4" spans="1:13" ht="14.25" customHeight="1" thickBot="1">
      <c r="A4" s="13" t="s">
        <v>303</v>
      </c>
      <c r="B4" s="5">
        <v>2013</v>
      </c>
      <c r="C4" s="5">
        <v>2014</v>
      </c>
      <c r="D4" s="5">
        <v>2015</v>
      </c>
      <c r="E4" s="5">
        <v>2016</v>
      </c>
      <c r="F4" s="5">
        <v>2017</v>
      </c>
      <c r="G4" s="5">
        <v>2018</v>
      </c>
      <c r="H4" s="5">
        <v>2019</v>
      </c>
      <c r="I4" s="14">
        <v>2020</v>
      </c>
      <c r="J4" s="5">
        <v>2021</v>
      </c>
      <c r="K4" s="6">
        <v>2022</v>
      </c>
      <c r="L4" s="6">
        <v>2023</v>
      </c>
    </row>
    <row r="5" spans="1:13" ht="14.25" customHeight="1" thickTop="1">
      <c r="A5" s="25" t="s">
        <v>64</v>
      </c>
      <c r="B5" s="462"/>
      <c r="C5" s="462"/>
      <c r="D5" s="462"/>
      <c r="E5" s="462"/>
      <c r="F5" s="462"/>
      <c r="G5" s="462"/>
      <c r="H5" s="462"/>
      <c r="I5" s="462"/>
      <c r="J5" s="213">
        <v>9</v>
      </c>
      <c r="K5" s="293">
        <v>10</v>
      </c>
      <c r="L5" s="293">
        <v>4.2169999999999996</v>
      </c>
    </row>
    <row r="6" spans="1:13" ht="14.25" customHeight="1">
      <c r="A6" s="25" t="s">
        <v>127</v>
      </c>
      <c r="B6" s="462"/>
      <c r="C6" s="462"/>
      <c r="D6" s="462"/>
      <c r="E6" s="462"/>
      <c r="F6" s="462"/>
      <c r="G6" s="462"/>
      <c r="H6" s="462"/>
      <c r="I6" s="462"/>
      <c r="J6" s="213">
        <v>10</v>
      </c>
      <c r="K6" s="293">
        <v>9</v>
      </c>
      <c r="L6" s="293">
        <v>4.3099999999999996</v>
      </c>
    </row>
    <row r="7" spans="1:13" s="26" customFormat="1" ht="14.25" customHeight="1">
      <c r="A7" s="333" t="s">
        <v>215</v>
      </c>
      <c r="B7" s="471"/>
      <c r="C7" s="471"/>
      <c r="D7" s="471"/>
      <c r="E7" s="471"/>
      <c r="F7" s="471"/>
      <c r="G7" s="471"/>
      <c r="H7" s="471"/>
      <c r="I7" s="471"/>
      <c r="J7" s="334">
        <v>0.2</v>
      </c>
      <c r="K7" s="358">
        <v>1</v>
      </c>
      <c r="L7" s="358">
        <v>-0.10100000000000001</v>
      </c>
    </row>
    <row r="8" spans="1:13" ht="14.25" customHeight="1">
      <c r="A8" s="25" t="s">
        <v>75</v>
      </c>
      <c r="B8" s="462"/>
      <c r="C8" s="462"/>
      <c r="D8" s="462"/>
      <c r="E8" s="462"/>
      <c r="F8" s="462"/>
      <c r="G8" s="462"/>
      <c r="H8" s="473"/>
      <c r="I8" s="473"/>
      <c r="J8" s="213">
        <v>0</v>
      </c>
      <c r="K8" s="293">
        <v>0</v>
      </c>
      <c r="L8" s="293">
        <v>0</v>
      </c>
    </row>
    <row r="9" spans="1:13" s="26" customFormat="1" ht="14.25" customHeight="1">
      <c r="A9" s="333" t="s">
        <v>216</v>
      </c>
      <c r="B9" s="463"/>
      <c r="C9" s="463"/>
      <c r="D9" s="463"/>
      <c r="E9" s="463"/>
      <c r="F9" s="463"/>
      <c r="G9" s="463"/>
      <c r="H9" s="463"/>
      <c r="I9" s="463"/>
      <c r="J9" s="334">
        <v>-0.2</v>
      </c>
      <c r="K9" s="358">
        <v>1</v>
      </c>
      <c r="L9" s="358">
        <v>-0.10100000000000001</v>
      </c>
    </row>
    <row r="10" spans="1:13" s="26" customFormat="1" ht="14.25" customHeight="1">
      <c r="A10" s="333" t="s">
        <v>82</v>
      </c>
      <c r="B10" s="463"/>
      <c r="C10" s="463"/>
      <c r="D10" s="463"/>
      <c r="E10" s="463"/>
      <c r="F10" s="463"/>
      <c r="G10" s="463"/>
      <c r="H10" s="463"/>
      <c r="I10" s="463"/>
      <c r="J10" s="334">
        <v>10</v>
      </c>
      <c r="K10" s="358">
        <v>8</v>
      </c>
      <c r="L10" s="358">
        <v>3.42</v>
      </c>
    </row>
    <row r="11" spans="1:13" ht="14.25" customHeight="1">
      <c r="A11" s="25" t="s">
        <v>26</v>
      </c>
      <c r="B11" s="462"/>
      <c r="C11" s="462"/>
      <c r="D11" s="462"/>
      <c r="E11" s="462"/>
      <c r="F11" s="462"/>
      <c r="G11" s="462"/>
      <c r="H11" s="462"/>
      <c r="I11" s="462"/>
      <c r="J11" s="213">
        <v>1</v>
      </c>
      <c r="K11" s="293">
        <v>3</v>
      </c>
      <c r="L11" s="293">
        <v>0.52400000000000002</v>
      </c>
    </row>
    <row r="12" spans="1:13" ht="14.25" customHeight="1">
      <c r="A12" s="25" t="s">
        <v>86</v>
      </c>
      <c r="B12" s="462"/>
      <c r="C12" s="462"/>
      <c r="D12" s="462"/>
      <c r="E12" s="462"/>
      <c r="F12" s="462"/>
      <c r="G12" s="462"/>
      <c r="H12" s="462"/>
      <c r="I12" s="462"/>
      <c r="J12" s="213">
        <v>7</v>
      </c>
      <c r="K12" s="293">
        <v>5</v>
      </c>
      <c r="L12" s="293">
        <v>2.8959999999999999</v>
      </c>
    </row>
    <row r="13" spans="1:13" s="26" customFormat="1" ht="14.25" customHeight="1">
      <c r="A13" s="337" t="s">
        <v>225</v>
      </c>
      <c r="B13" s="472"/>
      <c r="C13" s="472"/>
      <c r="D13" s="472"/>
      <c r="E13" s="472"/>
      <c r="F13" s="472"/>
      <c r="G13" s="472"/>
      <c r="H13" s="472"/>
      <c r="I13" s="472"/>
      <c r="J13" s="338">
        <v>8</v>
      </c>
      <c r="K13" s="357">
        <f>K11+K12</f>
        <v>8</v>
      </c>
      <c r="L13" s="357">
        <v>3.42</v>
      </c>
    </row>
    <row r="15" spans="1:13">
      <c r="A15" s="180" t="s">
        <v>37</v>
      </c>
      <c r="B15" s="181" t="s">
        <v>442</v>
      </c>
    </row>
  </sheetData>
  <mergeCells count="1">
    <mergeCell ref="B1:J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36A49-0329-465A-852D-7341005D0B3C}">
  <dimension ref="A1:Q24"/>
  <sheetViews>
    <sheetView showGridLines="0" zoomScaleNormal="100" workbookViewId="0">
      <selection activeCell="I22" sqref="I22"/>
    </sheetView>
  </sheetViews>
  <sheetFormatPr defaultRowHeight="14.5"/>
  <cols>
    <col min="1" max="1" width="31.1796875" bestFit="1" customWidth="1"/>
    <col min="2" max="2" width="7.26953125" bestFit="1" customWidth="1"/>
    <col min="3" max="3" width="7.81640625" bestFit="1" customWidth="1"/>
    <col min="4" max="6" width="7.26953125" bestFit="1" customWidth="1"/>
    <col min="7" max="7" width="7.81640625" bestFit="1" customWidth="1"/>
    <col min="14" max="14" width="29.7265625" bestFit="1" customWidth="1"/>
    <col min="17" max="17" width="18.26953125" bestFit="1" customWidth="1"/>
    <col min="18" max="18" width="20.453125" bestFit="1" customWidth="1"/>
  </cols>
  <sheetData>
    <row r="1" spans="1:14">
      <c r="A1" s="20" t="s">
        <v>230</v>
      </c>
      <c r="B1" s="478" t="s">
        <v>231</v>
      </c>
      <c r="C1" s="478"/>
      <c r="D1" s="478"/>
      <c r="E1" s="478"/>
      <c r="F1" s="478"/>
      <c r="G1" s="478"/>
      <c r="H1" s="478"/>
      <c r="I1" s="478"/>
      <c r="K1" s="145" t="str">
        <f>HYPERLINK("#Contents!A4","BACK TO CONTENTS")</f>
        <v>BACK TO CONTENTS</v>
      </c>
    </row>
    <row r="3" spans="1:14">
      <c r="A3" s="39" t="s">
        <v>22</v>
      </c>
    </row>
    <row r="4" spans="1:14" ht="14.25" customHeight="1" thickBot="1">
      <c r="A4" s="110" t="s">
        <v>210</v>
      </c>
      <c r="B4" s="79">
        <v>2014</v>
      </c>
      <c r="C4" s="79">
        <v>2015</v>
      </c>
      <c r="D4" s="79">
        <v>2016</v>
      </c>
      <c r="E4" s="111">
        <v>2017</v>
      </c>
      <c r="F4" s="111">
        <v>2018</v>
      </c>
      <c r="G4" s="111">
        <v>2019</v>
      </c>
      <c r="H4" s="111">
        <v>2020</v>
      </c>
      <c r="I4" s="111">
        <v>2021</v>
      </c>
      <c r="J4" s="111">
        <v>2022</v>
      </c>
      <c r="K4" s="112">
        <v>2023</v>
      </c>
      <c r="L4" s="112">
        <v>2024</v>
      </c>
    </row>
    <row r="5" spans="1:14" ht="14.25" customHeight="1" thickTop="1">
      <c r="A5" s="151" t="s">
        <v>16</v>
      </c>
      <c r="B5" s="152">
        <f>B6+B12</f>
        <v>62363</v>
      </c>
      <c r="C5" s="152">
        <f t="shared" ref="C5:L5" si="0">C6+C12</f>
        <v>61511</v>
      </c>
      <c r="D5" s="152">
        <f t="shared" si="0"/>
        <v>50080</v>
      </c>
      <c r="E5" s="152">
        <f t="shared" si="0"/>
        <v>48233</v>
      </c>
      <c r="F5" s="152">
        <f t="shared" si="0"/>
        <v>52472</v>
      </c>
      <c r="G5" s="152">
        <f t="shared" si="0"/>
        <v>46426</v>
      </c>
      <c r="H5" s="152">
        <f t="shared" si="0"/>
        <v>52259</v>
      </c>
      <c r="I5" s="152">
        <f t="shared" si="0"/>
        <v>53189</v>
      </c>
      <c r="J5" s="152">
        <f t="shared" si="0"/>
        <v>60029</v>
      </c>
      <c r="K5" s="152">
        <f t="shared" si="0"/>
        <v>67728</v>
      </c>
      <c r="L5" s="425">
        <f t="shared" si="0"/>
        <v>80289</v>
      </c>
      <c r="M5" s="166"/>
    </row>
    <row r="6" spans="1:14" ht="14.25" customHeight="1">
      <c r="A6" s="197" t="s">
        <v>334</v>
      </c>
      <c r="B6" s="195">
        <f t="shared" ref="B6:K6" si="1">SUM(B7:B11)</f>
        <v>57632</v>
      </c>
      <c r="C6" s="195">
        <f t="shared" si="1"/>
        <v>57763</v>
      </c>
      <c r="D6" s="195">
        <f t="shared" si="1"/>
        <v>43712</v>
      </c>
      <c r="E6" s="195">
        <f t="shared" si="1"/>
        <v>43572</v>
      </c>
      <c r="F6" s="195">
        <f t="shared" si="1"/>
        <v>45178</v>
      </c>
      <c r="G6" s="195">
        <f t="shared" si="1"/>
        <v>38967</v>
      </c>
      <c r="H6" s="195">
        <f t="shared" si="1"/>
        <v>39002</v>
      </c>
      <c r="I6" s="195">
        <f t="shared" si="1"/>
        <v>39971</v>
      </c>
      <c r="J6" s="195">
        <f t="shared" si="1"/>
        <v>46138</v>
      </c>
      <c r="K6" s="196">
        <f t="shared" si="1"/>
        <v>51544</v>
      </c>
      <c r="L6" s="196">
        <f>SUM(L7:L11)</f>
        <v>61557</v>
      </c>
      <c r="N6" s="424"/>
    </row>
    <row r="7" spans="1:14" ht="14.25" customHeight="1">
      <c r="A7" s="359" t="s">
        <v>232</v>
      </c>
      <c r="B7" s="135">
        <v>274</v>
      </c>
      <c r="C7" s="135">
        <v>275</v>
      </c>
      <c r="D7" s="135">
        <v>256</v>
      </c>
      <c r="E7" s="135">
        <v>9</v>
      </c>
      <c r="F7" s="136">
        <v>211</v>
      </c>
      <c r="G7" s="136">
        <v>208</v>
      </c>
      <c r="H7" s="136">
        <v>206</v>
      </c>
      <c r="I7" s="136">
        <v>217</v>
      </c>
      <c r="J7" s="136">
        <v>357</v>
      </c>
      <c r="K7" s="137">
        <v>184</v>
      </c>
      <c r="L7" s="137">
        <v>192</v>
      </c>
      <c r="M7" s="166"/>
      <c r="N7" s="424"/>
    </row>
    <row r="8" spans="1:14" ht="14.25" customHeight="1">
      <c r="A8" s="359" t="s">
        <v>400</v>
      </c>
      <c r="B8" s="474">
        <v>0</v>
      </c>
      <c r="C8" s="474">
        <v>0</v>
      </c>
      <c r="D8" s="474">
        <v>0</v>
      </c>
      <c r="E8" s="474">
        <v>0</v>
      </c>
      <c r="F8" s="475">
        <v>0</v>
      </c>
      <c r="G8" s="475">
        <v>0</v>
      </c>
      <c r="H8" s="475">
        <v>0</v>
      </c>
      <c r="I8" s="475">
        <v>0</v>
      </c>
      <c r="J8" s="475">
        <v>0</v>
      </c>
      <c r="K8" s="137">
        <v>5</v>
      </c>
      <c r="L8" s="137">
        <v>11</v>
      </c>
      <c r="M8" s="166"/>
      <c r="N8" s="424"/>
    </row>
    <row r="9" spans="1:14" ht="14.25" customHeight="1">
      <c r="A9" s="359" t="s">
        <v>294</v>
      </c>
      <c r="B9" s="135">
        <v>53066</v>
      </c>
      <c r="C9" s="135">
        <v>37079</v>
      </c>
      <c r="D9" s="135">
        <v>37315</v>
      </c>
      <c r="E9" s="135">
        <v>39182</v>
      </c>
      <c r="F9" s="136">
        <v>39518</v>
      </c>
      <c r="G9" s="136">
        <v>33759</v>
      </c>
      <c r="H9" s="136">
        <v>33748</v>
      </c>
      <c r="I9" s="136">
        <v>35375</v>
      </c>
      <c r="J9" s="136">
        <v>40715</v>
      </c>
      <c r="K9" s="137">
        <v>45422</v>
      </c>
      <c r="L9" s="137">
        <v>54070</v>
      </c>
      <c r="M9" s="166"/>
      <c r="N9" s="424"/>
    </row>
    <row r="10" spans="1:14" ht="14.25" customHeight="1">
      <c r="A10" s="359" t="s">
        <v>295</v>
      </c>
      <c r="B10" s="135">
        <v>3240</v>
      </c>
      <c r="C10" s="135">
        <v>3504</v>
      </c>
      <c r="D10" s="135">
        <v>3576</v>
      </c>
      <c r="E10" s="135">
        <v>2698</v>
      </c>
      <c r="F10" s="136">
        <v>2841</v>
      </c>
      <c r="G10" s="136">
        <v>2757</v>
      </c>
      <c r="H10" s="136">
        <v>2671</v>
      </c>
      <c r="I10" s="136">
        <v>2346</v>
      </c>
      <c r="J10" s="136">
        <v>1934</v>
      </c>
      <c r="K10" s="137">
        <v>2429</v>
      </c>
      <c r="L10" s="137">
        <v>3429</v>
      </c>
      <c r="M10" s="166"/>
      <c r="N10" s="424"/>
    </row>
    <row r="11" spans="1:14" ht="14.25" customHeight="1">
      <c r="A11" s="359" t="s">
        <v>233</v>
      </c>
      <c r="B11" s="135">
        <v>1052</v>
      </c>
      <c r="C11" s="135">
        <v>16905</v>
      </c>
      <c r="D11" s="135">
        <v>2565</v>
      </c>
      <c r="E11" s="135">
        <v>1683</v>
      </c>
      <c r="F11" s="136">
        <v>2608</v>
      </c>
      <c r="G11" s="136">
        <v>2243</v>
      </c>
      <c r="H11" s="136">
        <v>2377</v>
      </c>
      <c r="I11" s="136">
        <v>2033</v>
      </c>
      <c r="J11" s="136">
        <v>3132</v>
      </c>
      <c r="K11" s="137">
        <v>3504</v>
      </c>
      <c r="L11" s="137">
        <v>3855</v>
      </c>
      <c r="M11" s="166"/>
      <c r="N11" s="424"/>
    </row>
    <row r="12" spans="1:14" ht="14.25" customHeight="1">
      <c r="A12" s="197" t="s">
        <v>335</v>
      </c>
      <c r="B12" s="198">
        <f t="shared" ref="B12:K12" si="2">SUM(B13:B17)</f>
        <v>4731</v>
      </c>
      <c r="C12" s="198">
        <f t="shared" si="2"/>
        <v>3748</v>
      </c>
      <c r="D12" s="198">
        <f t="shared" si="2"/>
        <v>6368</v>
      </c>
      <c r="E12" s="198">
        <f t="shared" si="2"/>
        <v>4661</v>
      </c>
      <c r="F12" s="198">
        <f t="shared" si="2"/>
        <v>7294</v>
      </c>
      <c r="G12" s="198">
        <f t="shared" si="2"/>
        <v>7459</v>
      </c>
      <c r="H12" s="198">
        <f t="shared" si="2"/>
        <v>13257</v>
      </c>
      <c r="I12" s="198">
        <f t="shared" si="2"/>
        <v>13218</v>
      </c>
      <c r="J12" s="198">
        <f t="shared" si="2"/>
        <v>13891</v>
      </c>
      <c r="K12" s="199">
        <f t="shared" si="2"/>
        <v>16184</v>
      </c>
      <c r="L12" s="199">
        <f>SUM(L13:L17)</f>
        <v>18732</v>
      </c>
      <c r="N12" s="424"/>
    </row>
    <row r="13" spans="1:14" ht="14.25" customHeight="1">
      <c r="A13" s="359" t="s">
        <v>232</v>
      </c>
      <c r="B13" s="135">
        <v>805</v>
      </c>
      <c r="C13" s="135">
        <v>673</v>
      </c>
      <c r="D13" s="135">
        <v>937</v>
      </c>
      <c r="E13" s="135">
        <v>7</v>
      </c>
      <c r="F13" s="136">
        <v>1144</v>
      </c>
      <c r="G13" s="136">
        <v>1155</v>
      </c>
      <c r="H13" s="136">
        <v>3549</v>
      </c>
      <c r="I13" s="136">
        <v>3126</v>
      </c>
      <c r="J13" s="136">
        <v>4478</v>
      </c>
      <c r="K13" s="137">
        <v>4387</v>
      </c>
      <c r="L13" s="137">
        <v>4984</v>
      </c>
    </row>
    <row r="14" spans="1:14" ht="14.25" customHeight="1">
      <c r="A14" s="359" t="s">
        <v>400</v>
      </c>
      <c r="B14" s="474">
        <v>0</v>
      </c>
      <c r="C14" s="474">
        <v>0</v>
      </c>
      <c r="D14" s="474">
        <v>0</v>
      </c>
      <c r="E14" s="474">
        <v>0</v>
      </c>
      <c r="F14" s="475">
        <v>0</v>
      </c>
      <c r="G14" s="475">
        <v>0</v>
      </c>
      <c r="H14" s="475">
        <v>0</v>
      </c>
      <c r="I14" s="475">
        <v>0</v>
      </c>
      <c r="J14" s="475">
        <v>0</v>
      </c>
      <c r="K14" s="137">
        <v>14</v>
      </c>
      <c r="L14" s="137">
        <v>18</v>
      </c>
    </row>
    <row r="15" spans="1:14" ht="14.25" customHeight="1">
      <c r="A15" s="359" t="s">
        <v>294</v>
      </c>
      <c r="B15" s="135">
        <v>1225</v>
      </c>
      <c r="C15" s="135">
        <v>1345</v>
      </c>
      <c r="D15" s="135">
        <v>1150</v>
      </c>
      <c r="E15" s="135">
        <v>1547</v>
      </c>
      <c r="F15" s="136">
        <v>1236</v>
      </c>
      <c r="G15" s="136">
        <v>1157</v>
      </c>
      <c r="H15" s="136">
        <v>4764</v>
      </c>
      <c r="I15" s="136">
        <v>5762</v>
      </c>
      <c r="J15" s="136">
        <v>4449</v>
      </c>
      <c r="K15" s="137">
        <v>6936</v>
      </c>
      <c r="L15" s="137">
        <v>7606</v>
      </c>
    </row>
    <row r="16" spans="1:14" ht="14.25" customHeight="1">
      <c r="A16" s="359" t="s">
        <v>295</v>
      </c>
      <c r="B16" s="474">
        <v>0</v>
      </c>
      <c r="C16" s="474">
        <v>0</v>
      </c>
      <c r="D16" s="135">
        <v>845</v>
      </c>
      <c r="E16" s="135">
        <v>70</v>
      </c>
      <c r="F16" s="136">
        <v>488</v>
      </c>
      <c r="G16" s="136">
        <v>696</v>
      </c>
      <c r="H16" s="136">
        <v>2212</v>
      </c>
      <c r="I16" s="136">
        <v>2360</v>
      </c>
      <c r="J16" s="136">
        <v>1812</v>
      </c>
      <c r="K16" s="137">
        <v>2608</v>
      </c>
      <c r="L16" s="137">
        <v>2801</v>
      </c>
    </row>
    <row r="17" spans="1:17" ht="14.25" customHeight="1">
      <c r="A17" s="360" t="s">
        <v>233</v>
      </c>
      <c r="B17" s="138">
        <v>2701</v>
      </c>
      <c r="C17" s="138">
        <v>1730</v>
      </c>
      <c r="D17" s="138">
        <v>3436</v>
      </c>
      <c r="E17" s="138">
        <v>3037</v>
      </c>
      <c r="F17" s="139">
        <v>4426</v>
      </c>
      <c r="G17" s="139">
        <v>4451</v>
      </c>
      <c r="H17" s="139">
        <v>2732</v>
      </c>
      <c r="I17" s="139">
        <v>1970</v>
      </c>
      <c r="J17" s="139">
        <v>3152</v>
      </c>
      <c r="K17" s="140">
        <v>2239</v>
      </c>
      <c r="L17" s="140">
        <v>3323</v>
      </c>
    </row>
    <row r="19" spans="1:17">
      <c r="A19" s="70" t="s">
        <v>36</v>
      </c>
      <c r="B19" s="106" t="s">
        <v>293</v>
      </c>
    </row>
    <row r="20" spans="1:17">
      <c r="A20" s="34" t="s">
        <v>37</v>
      </c>
      <c r="B20" s="34" t="s">
        <v>296</v>
      </c>
      <c r="C20" s="34"/>
      <c r="D20" s="34"/>
      <c r="E20" s="34"/>
      <c r="F20" s="34"/>
    </row>
    <row r="23" spans="1:17">
      <c r="Q23" s="166" t="e">
        <f>#REF!+#REF!+#REF!</f>
        <v>#REF!</v>
      </c>
    </row>
    <row r="24" spans="1:17">
      <c r="Q24" s="166" t="e">
        <f>#REF!+#REF!</f>
        <v>#REF!</v>
      </c>
    </row>
  </sheetData>
  <protectedRanges>
    <protectedRange sqref="A7:K11 A13:K17" name="Range1"/>
  </protectedRanges>
  <mergeCells count="1">
    <mergeCell ref="B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36CCC-F504-442F-946A-7281954B37F0}">
  <dimension ref="A1:M12"/>
  <sheetViews>
    <sheetView showGridLines="0" zoomScaleNormal="100" workbookViewId="0"/>
  </sheetViews>
  <sheetFormatPr defaultRowHeight="14.5"/>
  <cols>
    <col min="1" max="1" width="24.26953125" customWidth="1"/>
    <col min="2" max="2" width="6.54296875" customWidth="1"/>
    <col min="3" max="7" width="8.90625" bestFit="1" customWidth="1"/>
    <col min="8" max="8" width="6.6328125" bestFit="1" customWidth="1"/>
    <col min="9" max="9" width="8.7265625" customWidth="1"/>
    <col min="10" max="13" width="8.90625" bestFit="1" customWidth="1"/>
  </cols>
  <sheetData>
    <row r="1" spans="1:13" ht="32.25" customHeight="1">
      <c r="A1" s="20" t="s">
        <v>13</v>
      </c>
      <c r="B1" s="483" t="s">
        <v>14</v>
      </c>
      <c r="C1" s="483"/>
      <c r="D1" s="483"/>
      <c r="E1" s="483"/>
      <c r="F1" s="483"/>
      <c r="G1" s="483"/>
      <c r="H1" s="483"/>
      <c r="I1" s="483"/>
      <c r="J1" s="483"/>
      <c r="M1" s="27" t="str">
        <f>HYPERLINK("#Contents!A4","BACK TO CONTENTS")</f>
        <v>BACK TO CONTENTS</v>
      </c>
    </row>
    <row r="3" spans="1:13" ht="14.25" customHeight="1" thickBot="1">
      <c r="A3" s="4" t="s">
        <v>15</v>
      </c>
      <c r="B3" s="5">
        <v>2013</v>
      </c>
      <c r="C3" s="5">
        <v>2014</v>
      </c>
      <c r="D3" s="5">
        <v>2015</v>
      </c>
      <c r="E3" s="5">
        <v>2016</v>
      </c>
      <c r="F3" s="5">
        <v>2017</v>
      </c>
      <c r="G3" s="5">
        <v>2018</v>
      </c>
      <c r="H3" s="5">
        <v>2019</v>
      </c>
      <c r="I3" s="5">
        <v>2020</v>
      </c>
      <c r="J3" s="5">
        <v>2021</v>
      </c>
      <c r="K3" s="5">
        <v>2022</v>
      </c>
      <c r="L3" s="6">
        <v>2023</v>
      </c>
      <c r="M3" s="6">
        <v>2024</v>
      </c>
    </row>
    <row r="4" spans="1:13" ht="14.25" customHeight="1" thickTop="1">
      <c r="A4" s="3" t="s">
        <v>278</v>
      </c>
      <c r="B4" s="7">
        <f>SUM(B5:B8)</f>
        <v>470</v>
      </c>
      <c r="C4" s="7">
        <f>SUM(C5:C8)</f>
        <v>526</v>
      </c>
      <c r="D4" s="7">
        <f>SUM(D5:D8)</f>
        <v>623</v>
      </c>
      <c r="E4" s="7">
        <f>SUM(E5:E8)</f>
        <v>682</v>
      </c>
      <c r="F4" s="7">
        <f t="shared" ref="F4:L4" si="0">SUM(F5:F8)</f>
        <v>724</v>
      </c>
      <c r="G4" s="7">
        <f t="shared" si="0"/>
        <v>729</v>
      </c>
      <c r="H4" s="7">
        <f t="shared" si="0"/>
        <v>741</v>
      </c>
      <c r="I4" s="7">
        <f t="shared" si="0"/>
        <v>783</v>
      </c>
      <c r="J4" s="7">
        <f t="shared" si="0"/>
        <v>799</v>
      </c>
      <c r="K4" s="7">
        <f t="shared" si="0"/>
        <v>799</v>
      </c>
      <c r="L4" s="10">
        <f t="shared" si="0"/>
        <v>822</v>
      </c>
      <c r="M4" s="10">
        <f>SUM(M5:M8)</f>
        <v>867</v>
      </c>
    </row>
    <row r="5" spans="1:13" ht="14.25" customHeight="1">
      <c r="A5" s="132" t="s">
        <v>314</v>
      </c>
      <c r="B5" s="191">
        <f>'3.01'!B5</f>
        <v>263</v>
      </c>
      <c r="C5" s="191">
        <f>'3.01'!C5</f>
        <v>270</v>
      </c>
      <c r="D5" s="191">
        <f>'3.01'!D5</f>
        <v>274</v>
      </c>
      <c r="E5" s="191">
        <f>'3.01'!E5</f>
        <v>246</v>
      </c>
      <c r="F5" s="191">
        <f>'3.01'!F5</f>
        <v>246</v>
      </c>
      <c r="G5" s="191">
        <f>'3.01'!G5</f>
        <v>246</v>
      </c>
      <c r="H5" s="191">
        <f>'3.01'!H5</f>
        <v>234</v>
      </c>
      <c r="I5" s="191">
        <f>'3.01'!I5</f>
        <v>224</v>
      </c>
      <c r="J5" s="191">
        <f>'3.01'!J5</f>
        <v>244</v>
      </c>
      <c r="K5" s="191">
        <f>'3.01'!K5</f>
        <v>250</v>
      </c>
      <c r="L5" s="192">
        <f>'3.01'!L5</f>
        <v>241</v>
      </c>
      <c r="M5" s="192">
        <f>'3.01'!M5</f>
        <v>251</v>
      </c>
    </row>
    <row r="6" spans="1:13" ht="14.25" customHeight="1">
      <c r="A6" s="132" t="s">
        <v>17</v>
      </c>
      <c r="B6" s="133">
        <f>'4.11'!B6</f>
        <v>95</v>
      </c>
      <c r="C6" s="133">
        <f>'4.11'!C6</f>
        <v>93</v>
      </c>
      <c r="D6" s="133">
        <f>'4.11'!D6</f>
        <v>91</v>
      </c>
      <c r="E6" s="133">
        <f>'4.11'!E6</f>
        <v>87</v>
      </c>
      <c r="F6" s="133">
        <f>'4.11'!F6</f>
        <v>86</v>
      </c>
      <c r="G6" s="133">
        <f>'4.11'!G6</f>
        <v>86</v>
      </c>
      <c r="H6" s="133">
        <f>'4.11'!H6</f>
        <v>81</v>
      </c>
      <c r="I6" s="133">
        <f>'4.11'!I6</f>
        <v>82</v>
      </c>
      <c r="J6" s="133">
        <f>'4.11'!J6</f>
        <v>87</v>
      </c>
      <c r="K6" s="133">
        <f>'4.11'!K6</f>
        <v>87</v>
      </c>
      <c r="L6" s="192">
        <f>'4.11'!L5</f>
        <v>88</v>
      </c>
      <c r="M6" s="192">
        <f>'4.11'!M5</f>
        <v>91</v>
      </c>
    </row>
    <row r="7" spans="1:13" ht="14.25" customHeight="1">
      <c r="A7" s="132" t="s">
        <v>18</v>
      </c>
      <c r="B7" s="133">
        <f>'5.01'!B5</f>
        <v>99</v>
      </c>
      <c r="C7" s="133">
        <f>'5.01'!C5</f>
        <v>76</v>
      </c>
      <c r="D7" s="133">
        <f>'5.01'!D5</f>
        <v>62</v>
      </c>
      <c r="E7" s="133">
        <f>'5.01'!E5</f>
        <v>63</v>
      </c>
      <c r="F7" s="133">
        <f>'5.01'!F5</f>
        <v>77</v>
      </c>
      <c r="G7" s="133">
        <f>'5.01'!G5</f>
        <v>82</v>
      </c>
      <c r="H7" s="133">
        <f>'5.01'!H5</f>
        <v>84</v>
      </c>
      <c r="I7" s="133">
        <f>'5.01'!I5</f>
        <v>101</v>
      </c>
      <c r="J7" s="133">
        <f>'5.01'!J5</f>
        <v>112</v>
      </c>
      <c r="K7" s="133">
        <f>'5.01'!K5</f>
        <v>115</v>
      </c>
      <c r="L7" s="192">
        <f>'5.01'!L5</f>
        <v>116</v>
      </c>
      <c r="M7" s="192">
        <f>'5.01'!M5</f>
        <v>118</v>
      </c>
    </row>
    <row r="8" spans="1:13" ht="14.25" customHeight="1">
      <c r="A8" s="134" t="s">
        <v>19</v>
      </c>
      <c r="B8" s="141">
        <f>'6.01'!B5</f>
        <v>13</v>
      </c>
      <c r="C8" s="141">
        <f>'6.01'!C5</f>
        <v>87</v>
      </c>
      <c r="D8" s="141">
        <f>'6.01'!D5</f>
        <v>196</v>
      </c>
      <c r="E8" s="141">
        <f>'6.01'!E5</f>
        <v>286</v>
      </c>
      <c r="F8" s="141">
        <f>'6.01'!F5</f>
        <v>315</v>
      </c>
      <c r="G8" s="141">
        <f>'6.01'!G5</f>
        <v>315</v>
      </c>
      <c r="H8" s="141">
        <f>'6.01'!H5</f>
        <v>342</v>
      </c>
      <c r="I8" s="141">
        <f>'6.01'!I5</f>
        <v>376</v>
      </c>
      <c r="J8" s="141">
        <f>'6.01'!J5</f>
        <v>356</v>
      </c>
      <c r="K8" s="141">
        <f>'6.01'!K5</f>
        <v>347</v>
      </c>
      <c r="L8" s="193">
        <f>'6.01'!L5</f>
        <v>377</v>
      </c>
      <c r="M8" s="193">
        <f>'6.01'!M5</f>
        <v>407</v>
      </c>
    </row>
    <row r="9" spans="1:13">
      <c r="A9" s="132"/>
      <c r="B9" s="426"/>
      <c r="C9" s="426"/>
      <c r="D9" s="426"/>
      <c r="E9" s="426"/>
      <c r="F9" s="426"/>
      <c r="G9" s="426"/>
      <c r="H9" s="426"/>
      <c r="I9" s="426"/>
      <c r="J9" s="426"/>
      <c r="K9" s="426"/>
      <c r="L9" s="426"/>
      <c r="M9" s="426"/>
    </row>
    <row r="10" spans="1:13">
      <c r="A10" s="170"/>
      <c r="B10" s="34"/>
    </row>
    <row r="11" spans="1:13">
      <c r="A11" s="170"/>
      <c r="B11" s="34"/>
      <c r="C11" s="422"/>
      <c r="D11" s="422"/>
      <c r="E11" s="422"/>
      <c r="F11" s="422"/>
      <c r="G11" s="422"/>
      <c r="H11" s="422"/>
      <c r="I11" s="422"/>
      <c r="J11" s="422"/>
      <c r="K11" s="422"/>
      <c r="L11" s="422"/>
      <c r="M11" s="422"/>
    </row>
    <row r="12" spans="1:13">
      <c r="A12" s="170"/>
      <c r="B12" s="34"/>
      <c r="C12" s="34"/>
    </row>
  </sheetData>
  <mergeCells count="1">
    <mergeCell ref="B1:J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B32D4-1371-4241-B4E8-2F4F4FBBCBC5}">
  <dimension ref="A1:M10"/>
  <sheetViews>
    <sheetView showGridLines="0" workbookViewId="0">
      <selection activeCell="J14" sqref="J14"/>
    </sheetView>
  </sheetViews>
  <sheetFormatPr defaultRowHeight="14.5"/>
  <cols>
    <col min="1" max="1" width="17.7265625" customWidth="1"/>
  </cols>
  <sheetData>
    <row r="1" spans="1:13">
      <c r="A1" s="39" t="s">
        <v>234</v>
      </c>
      <c r="B1" s="478" t="s">
        <v>235</v>
      </c>
      <c r="C1" s="478"/>
      <c r="D1" s="478"/>
      <c r="E1" s="478"/>
      <c r="F1" s="478"/>
      <c r="G1" s="478"/>
      <c r="H1" s="19"/>
      <c r="I1" s="27" t="str">
        <f>HYPERLINK("#Contents!A43","BACK TO CONTENTS")</f>
        <v>BACK TO CONTENTS</v>
      </c>
    </row>
    <row r="4" spans="1:13" ht="14.25" customHeight="1" thickBot="1">
      <c r="A4" s="4" t="s">
        <v>15</v>
      </c>
      <c r="B4" s="5">
        <v>2013</v>
      </c>
      <c r="C4" s="5">
        <v>2014</v>
      </c>
      <c r="D4" s="5">
        <v>2015</v>
      </c>
      <c r="E4" s="5">
        <v>2016</v>
      </c>
      <c r="F4" s="5">
        <v>2017</v>
      </c>
      <c r="G4" s="5">
        <v>2018</v>
      </c>
      <c r="H4" s="5">
        <v>2019</v>
      </c>
      <c r="I4" s="5">
        <v>2020</v>
      </c>
      <c r="J4" s="5">
        <v>2021</v>
      </c>
      <c r="K4" s="5">
        <v>2022</v>
      </c>
      <c r="L4" s="6">
        <v>2023</v>
      </c>
      <c r="M4" s="6">
        <v>2024</v>
      </c>
    </row>
    <row r="5" spans="1:13" ht="14.25" customHeight="1" thickTop="1">
      <c r="A5" s="49" t="s">
        <v>19</v>
      </c>
      <c r="B5" s="121">
        <f t="shared" ref="B5:J5" si="0">SUM(B6:B9)</f>
        <v>13</v>
      </c>
      <c r="C5" s="121">
        <f t="shared" si="0"/>
        <v>87</v>
      </c>
      <c r="D5" s="121">
        <f t="shared" si="0"/>
        <v>196</v>
      </c>
      <c r="E5" s="121">
        <f t="shared" si="0"/>
        <v>286</v>
      </c>
      <c r="F5" s="121">
        <f t="shared" si="0"/>
        <v>315</v>
      </c>
      <c r="G5" s="121">
        <f t="shared" si="0"/>
        <v>315</v>
      </c>
      <c r="H5" s="121">
        <f t="shared" si="0"/>
        <v>342</v>
      </c>
      <c r="I5" s="121">
        <f t="shared" si="0"/>
        <v>376</v>
      </c>
      <c r="J5" s="121">
        <f t="shared" si="0"/>
        <v>356</v>
      </c>
      <c r="K5" s="50">
        <f>SUM(K6:K10)</f>
        <v>347</v>
      </c>
      <c r="L5" s="51">
        <f>SUM(L6:L10)</f>
        <v>377</v>
      </c>
      <c r="M5" s="51">
        <f>SUM(M6:M10)</f>
        <v>407</v>
      </c>
    </row>
    <row r="6" spans="1:13" ht="14.25" customHeight="1">
      <c r="A6" s="132" t="s">
        <v>236</v>
      </c>
      <c r="B6" s="133">
        <v>13</v>
      </c>
      <c r="C6" s="133">
        <v>73</v>
      </c>
      <c r="D6" s="133">
        <v>166</v>
      </c>
      <c r="E6" s="133">
        <v>218</v>
      </c>
      <c r="F6" s="133">
        <v>219</v>
      </c>
      <c r="G6" s="133">
        <v>214</v>
      </c>
      <c r="H6" s="133">
        <v>216</v>
      </c>
      <c r="I6" s="133">
        <v>230</v>
      </c>
      <c r="J6" s="133">
        <v>233</v>
      </c>
      <c r="K6" s="133">
        <v>233</v>
      </c>
      <c r="L6" s="124">
        <v>248</v>
      </c>
      <c r="M6" s="124">
        <v>282</v>
      </c>
    </row>
    <row r="7" spans="1:13" ht="14.25" customHeight="1">
      <c r="A7" s="132" t="s">
        <v>237</v>
      </c>
      <c r="B7" s="133">
        <v>0</v>
      </c>
      <c r="C7" s="133">
        <v>1</v>
      </c>
      <c r="D7" s="133">
        <v>3</v>
      </c>
      <c r="E7" s="133">
        <v>11</v>
      </c>
      <c r="F7" s="133">
        <v>19</v>
      </c>
      <c r="G7" s="133">
        <v>20</v>
      </c>
      <c r="H7" s="133">
        <v>39</v>
      </c>
      <c r="I7" s="133">
        <v>54</v>
      </c>
      <c r="J7" s="133">
        <v>59</v>
      </c>
      <c r="K7" s="133">
        <v>56</v>
      </c>
      <c r="L7" s="124">
        <v>66</v>
      </c>
      <c r="M7" s="124">
        <v>68</v>
      </c>
    </row>
    <row r="8" spans="1:13" ht="14.25" customHeight="1">
      <c r="A8" s="132" t="s">
        <v>238</v>
      </c>
      <c r="B8" s="133">
        <v>0</v>
      </c>
      <c r="C8" s="133">
        <v>13</v>
      </c>
      <c r="D8" s="133">
        <v>27</v>
      </c>
      <c r="E8" s="133">
        <v>57</v>
      </c>
      <c r="F8" s="133">
        <v>72</v>
      </c>
      <c r="G8" s="133">
        <v>76</v>
      </c>
      <c r="H8" s="133">
        <v>82</v>
      </c>
      <c r="I8" s="133">
        <v>87</v>
      </c>
      <c r="J8" s="133">
        <v>59</v>
      </c>
      <c r="K8" s="133">
        <v>53</v>
      </c>
      <c r="L8" s="124">
        <v>58</v>
      </c>
      <c r="M8" s="124">
        <v>52</v>
      </c>
    </row>
    <row r="9" spans="1:13" ht="14.25" customHeight="1">
      <c r="A9" s="132" t="s">
        <v>239</v>
      </c>
      <c r="B9" s="133">
        <v>0</v>
      </c>
      <c r="C9" s="133">
        <v>0</v>
      </c>
      <c r="D9" s="133">
        <v>0</v>
      </c>
      <c r="E9" s="133">
        <v>0</v>
      </c>
      <c r="F9" s="133">
        <v>5</v>
      </c>
      <c r="G9" s="133">
        <v>5</v>
      </c>
      <c r="H9" s="133">
        <v>5</v>
      </c>
      <c r="I9" s="133">
        <v>5</v>
      </c>
      <c r="J9" s="133">
        <v>5</v>
      </c>
      <c r="K9" s="133">
        <v>3</v>
      </c>
      <c r="L9" s="124">
        <v>3</v>
      </c>
      <c r="M9" s="124">
        <v>3</v>
      </c>
    </row>
    <row r="10" spans="1:13" ht="19.5" customHeight="1">
      <c r="A10" s="134" t="s">
        <v>240</v>
      </c>
      <c r="B10" s="141">
        <v>0</v>
      </c>
      <c r="C10" s="141">
        <v>0</v>
      </c>
      <c r="D10" s="141">
        <v>0</v>
      </c>
      <c r="E10" s="141">
        <v>0</v>
      </c>
      <c r="F10" s="141">
        <v>0</v>
      </c>
      <c r="G10" s="141">
        <v>2</v>
      </c>
      <c r="H10" s="141">
        <v>2</v>
      </c>
      <c r="I10" s="141">
        <v>2</v>
      </c>
      <c r="J10" s="141">
        <v>2</v>
      </c>
      <c r="K10" s="141">
        <v>2</v>
      </c>
      <c r="L10" s="127">
        <v>2</v>
      </c>
      <c r="M10" s="127">
        <v>2</v>
      </c>
    </row>
  </sheetData>
  <protectedRanges>
    <protectedRange sqref="A6:L10" name="Range1"/>
  </protectedRanges>
  <mergeCells count="1">
    <mergeCell ref="B1:G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098B7-5B77-4FDD-9E60-72F17039096D}">
  <dimension ref="A1:N17"/>
  <sheetViews>
    <sheetView showGridLines="0" workbookViewId="0">
      <selection activeCell="M1" sqref="M1"/>
    </sheetView>
  </sheetViews>
  <sheetFormatPr defaultRowHeight="14.5"/>
  <cols>
    <col min="1" max="1" width="21.54296875" bestFit="1" customWidth="1"/>
    <col min="2" max="6" width="9.54296875" bestFit="1" customWidth="1"/>
  </cols>
  <sheetData>
    <row r="1" spans="1:14">
      <c r="A1" s="39" t="s">
        <v>241</v>
      </c>
      <c r="B1" s="478" t="s">
        <v>242</v>
      </c>
      <c r="C1" s="478"/>
      <c r="D1" s="478"/>
      <c r="E1" s="478"/>
      <c r="F1" s="478"/>
      <c r="G1" s="478"/>
      <c r="H1" s="478"/>
      <c r="M1" s="145" t="str">
        <f>HYPERLINK("#Contents!A43","BACK TO CONTENTS")</f>
        <v>BACK TO CONTENTS</v>
      </c>
    </row>
    <row r="3" spans="1:14">
      <c r="A3" s="39" t="s">
        <v>22</v>
      </c>
    </row>
    <row r="4" spans="1:14" ht="14.25" customHeight="1" thickBot="1">
      <c r="A4" s="4" t="s">
        <v>23</v>
      </c>
      <c r="B4" s="5">
        <v>2013</v>
      </c>
      <c r="C4" s="5">
        <v>2014</v>
      </c>
      <c r="D4" s="5">
        <v>2015</v>
      </c>
      <c r="E4" s="5">
        <v>2016</v>
      </c>
      <c r="F4" s="5">
        <v>2017</v>
      </c>
      <c r="G4" s="5">
        <v>2018</v>
      </c>
      <c r="H4" s="5">
        <v>2019</v>
      </c>
      <c r="I4" s="5">
        <v>2020</v>
      </c>
      <c r="J4" s="5">
        <v>2021</v>
      </c>
      <c r="K4" s="5">
        <v>2022</v>
      </c>
      <c r="L4" s="364">
        <v>2023</v>
      </c>
    </row>
    <row r="5" spans="1:14" ht="14.25" customHeight="1" thickTop="1">
      <c r="A5" s="162" t="s">
        <v>243</v>
      </c>
      <c r="B5" s="163">
        <v>924.62551199999996</v>
      </c>
      <c r="C5" s="163">
        <v>768.68799000000001</v>
      </c>
      <c r="D5" s="163">
        <v>900</v>
      </c>
      <c r="E5" s="163">
        <v>1000</v>
      </c>
      <c r="F5" s="163">
        <v>1127</v>
      </c>
      <c r="G5" s="163">
        <v>1188</v>
      </c>
      <c r="H5" s="163">
        <v>1432</v>
      </c>
      <c r="I5" s="163">
        <v>1519</v>
      </c>
      <c r="J5" s="163">
        <v>1574</v>
      </c>
      <c r="K5" s="163">
        <v>1707</v>
      </c>
      <c r="L5" s="365">
        <v>1976.414</v>
      </c>
      <c r="M5" s="22"/>
      <c r="N5" s="22"/>
    </row>
    <row r="6" spans="1:14" ht="14.25" customHeight="1">
      <c r="A6" s="162" t="s">
        <v>63</v>
      </c>
      <c r="B6" s="163">
        <v>45.810749999999999</v>
      </c>
      <c r="C6" s="163">
        <v>22.423248999999998</v>
      </c>
      <c r="D6" s="163">
        <v>200</v>
      </c>
      <c r="E6" s="163">
        <v>200</v>
      </c>
      <c r="F6" s="163">
        <v>186</v>
      </c>
      <c r="G6" s="163">
        <v>203</v>
      </c>
      <c r="H6" s="163">
        <v>313</v>
      </c>
      <c r="I6" s="163">
        <v>411</v>
      </c>
      <c r="J6" s="163">
        <v>381</v>
      </c>
      <c r="K6" s="163">
        <v>432</v>
      </c>
      <c r="L6" s="365">
        <v>447.67</v>
      </c>
      <c r="M6" s="22"/>
      <c r="N6" s="22"/>
    </row>
    <row r="7" spans="1:14" ht="14.25" customHeight="1">
      <c r="A7" s="164" t="s">
        <v>244</v>
      </c>
      <c r="B7" s="361">
        <f>B5+B6</f>
        <v>970.43626199999994</v>
      </c>
      <c r="C7" s="146">
        <f t="shared" ref="C7:L7" si="0">C5+C6</f>
        <v>791.11123900000007</v>
      </c>
      <c r="D7" s="146">
        <f t="shared" si="0"/>
        <v>1100</v>
      </c>
      <c r="E7" s="146">
        <f t="shared" si="0"/>
        <v>1200</v>
      </c>
      <c r="F7" s="146">
        <f t="shared" si="0"/>
        <v>1313</v>
      </c>
      <c r="G7" s="146">
        <f t="shared" si="0"/>
        <v>1391</v>
      </c>
      <c r="H7" s="146">
        <f>H5+H6</f>
        <v>1745</v>
      </c>
      <c r="I7" s="146">
        <f t="shared" si="0"/>
        <v>1930</v>
      </c>
      <c r="J7" s="146">
        <f t="shared" si="0"/>
        <v>1955</v>
      </c>
      <c r="K7" s="146">
        <f t="shared" si="0"/>
        <v>2139</v>
      </c>
      <c r="L7" s="366">
        <f t="shared" si="0"/>
        <v>2424.0839999999998</v>
      </c>
      <c r="M7" s="22"/>
      <c r="N7" s="22"/>
    </row>
    <row r="8" spans="1:14" ht="14.25" customHeight="1">
      <c r="A8" s="162" t="s">
        <v>245</v>
      </c>
      <c r="B8" s="163">
        <v>189.57462699999999</v>
      </c>
      <c r="C8" s="163">
        <v>118.494502</v>
      </c>
      <c r="D8" s="163">
        <v>0</v>
      </c>
      <c r="E8" s="163">
        <v>0</v>
      </c>
      <c r="F8" s="163">
        <v>220</v>
      </c>
      <c r="G8" s="163">
        <v>251</v>
      </c>
      <c r="H8" s="163">
        <v>308</v>
      </c>
      <c r="I8" s="163">
        <v>338</v>
      </c>
      <c r="J8" s="163">
        <v>361</v>
      </c>
      <c r="K8" s="163">
        <v>421</v>
      </c>
      <c r="L8" s="365">
        <v>500.57</v>
      </c>
      <c r="M8" s="22"/>
      <c r="N8" s="22"/>
    </row>
    <row r="9" spans="1:14" ht="14.25" customHeight="1">
      <c r="A9" s="162" t="s">
        <v>125</v>
      </c>
      <c r="B9" s="163">
        <v>242.70776699999999</v>
      </c>
      <c r="C9" s="163">
        <v>253.96757299999999</v>
      </c>
      <c r="D9" s="163">
        <v>0</v>
      </c>
      <c r="E9" s="163">
        <v>0</v>
      </c>
      <c r="F9" s="163">
        <v>581</v>
      </c>
      <c r="G9" s="163">
        <v>813</v>
      </c>
      <c r="H9" s="163">
        <v>701</v>
      </c>
      <c r="I9" s="163">
        <v>848</v>
      </c>
      <c r="J9" s="163">
        <v>857</v>
      </c>
      <c r="K9" s="163">
        <v>852</v>
      </c>
      <c r="L9" s="365">
        <v>1328.52</v>
      </c>
      <c r="M9" s="22"/>
      <c r="N9" s="22"/>
    </row>
    <row r="10" spans="1:14" ht="14.25" customHeight="1">
      <c r="A10" s="164" t="s">
        <v>73</v>
      </c>
      <c r="B10" s="146">
        <f>B8+B9</f>
        <v>432.28239399999995</v>
      </c>
      <c r="C10" s="146">
        <f t="shared" ref="C10:K10" si="1">C8+C9</f>
        <v>372.46207499999997</v>
      </c>
      <c r="D10" s="146">
        <f t="shared" si="1"/>
        <v>0</v>
      </c>
      <c r="E10" s="146">
        <f t="shared" si="1"/>
        <v>0</v>
      </c>
      <c r="F10" s="146">
        <f t="shared" si="1"/>
        <v>801</v>
      </c>
      <c r="G10" s="146">
        <f t="shared" si="1"/>
        <v>1064</v>
      </c>
      <c r="H10" s="146">
        <f t="shared" si="1"/>
        <v>1009</v>
      </c>
      <c r="I10" s="146">
        <f t="shared" si="1"/>
        <v>1186</v>
      </c>
      <c r="J10" s="146">
        <f t="shared" si="1"/>
        <v>1218</v>
      </c>
      <c r="K10" s="146">
        <f t="shared" si="1"/>
        <v>1273</v>
      </c>
      <c r="L10" s="366">
        <f>L8+L9</f>
        <v>1829.09</v>
      </c>
      <c r="M10" s="22"/>
      <c r="N10" s="22"/>
    </row>
    <row r="11" spans="1:14" ht="14.25" customHeight="1">
      <c r="A11" s="164" t="s">
        <v>291</v>
      </c>
      <c r="B11" s="361">
        <f>B7-B10</f>
        <v>538.15386799999999</v>
      </c>
      <c r="C11" s="146">
        <f t="shared" ref="C11:K11" si="2">C7-C10</f>
        <v>418.6491640000001</v>
      </c>
      <c r="D11" s="146">
        <f t="shared" si="2"/>
        <v>1100</v>
      </c>
      <c r="E11" s="146">
        <f>E7-E10</f>
        <v>1200</v>
      </c>
      <c r="F11" s="146">
        <f t="shared" si="2"/>
        <v>512</v>
      </c>
      <c r="G11" s="146">
        <f t="shared" si="2"/>
        <v>327</v>
      </c>
      <c r="H11" s="146">
        <v>701</v>
      </c>
      <c r="I11" s="146">
        <f t="shared" si="2"/>
        <v>744</v>
      </c>
      <c r="J11" s="146">
        <f t="shared" si="2"/>
        <v>737</v>
      </c>
      <c r="K11" s="146">
        <f t="shared" si="2"/>
        <v>866</v>
      </c>
      <c r="L11" s="366">
        <f>L7-L10</f>
        <v>594.99399999999991</v>
      </c>
      <c r="M11" s="22"/>
      <c r="N11" s="22"/>
    </row>
    <row r="12" spans="1:14" ht="14.25" customHeight="1">
      <c r="A12" s="162" t="s">
        <v>75</v>
      </c>
      <c r="B12" s="163">
        <v>117.18955</v>
      </c>
      <c r="C12" s="163">
        <v>101.06674599999999</v>
      </c>
      <c r="D12" s="163">
        <v>100</v>
      </c>
      <c r="E12" s="163">
        <v>100</v>
      </c>
      <c r="F12" s="163">
        <v>128</v>
      </c>
      <c r="G12" s="163">
        <v>124</v>
      </c>
      <c r="H12" s="163">
        <v>701</v>
      </c>
      <c r="I12" s="163">
        <v>159</v>
      </c>
      <c r="J12" s="163">
        <v>165</v>
      </c>
      <c r="K12" s="163">
        <v>195</v>
      </c>
      <c r="L12" s="365">
        <v>132.59</v>
      </c>
      <c r="M12" s="22"/>
      <c r="N12" s="22"/>
    </row>
    <row r="13" spans="1:14" ht="14.25" customHeight="1">
      <c r="A13" s="362" t="s">
        <v>246</v>
      </c>
      <c r="B13" s="363">
        <f t="shared" ref="B13:L13" si="3">B11-B12</f>
        <v>420.96431799999999</v>
      </c>
      <c r="C13" s="363">
        <f t="shared" si="3"/>
        <v>317.58241800000008</v>
      </c>
      <c r="D13" s="363">
        <f t="shared" si="3"/>
        <v>1000</v>
      </c>
      <c r="E13" s="363">
        <f t="shared" si="3"/>
        <v>1100</v>
      </c>
      <c r="F13" s="363">
        <f t="shared" si="3"/>
        <v>384</v>
      </c>
      <c r="G13" s="363">
        <f t="shared" si="3"/>
        <v>203</v>
      </c>
      <c r="H13" s="363">
        <f t="shared" si="3"/>
        <v>0</v>
      </c>
      <c r="I13" s="363">
        <f t="shared" si="3"/>
        <v>585</v>
      </c>
      <c r="J13" s="363">
        <f t="shared" si="3"/>
        <v>572</v>
      </c>
      <c r="K13" s="363">
        <f t="shared" si="3"/>
        <v>671</v>
      </c>
      <c r="L13" s="367">
        <f t="shared" si="3"/>
        <v>462.40399999999988</v>
      </c>
      <c r="M13" s="22"/>
      <c r="N13" s="22"/>
    </row>
    <row r="14" spans="1:14">
      <c r="M14" s="22"/>
      <c r="N14" s="22"/>
    </row>
    <row r="15" spans="1:14">
      <c r="A15" s="170" t="s">
        <v>37</v>
      </c>
      <c r="B15" s="34" t="s">
        <v>283</v>
      </c>
      <c r="F15" s="166"/>
      <c r="G15" s="166"/>
      <c r="H15" s="166"/>
      <c r="I15" s="166"/>
      <c r="J15" s="166"/>
      <c r="K15" s="166"/>
    </row>
    <row r="17" spans="7:7">
      <c r="G17" s="166"/>
    </row>
  </sheetData>
  <protectedRanges>
    <protectedRange sqref="A4:K13 L7 L10:L11 L13" name="Range1_2"/>
    <protectedRange sqref="M5:N7 M9:N12 M14:N14" name="Range1"/>
  </protectedRanges>
  <mergeCells count="1">
    <mergeCell ref="B1:H1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3C233-3369-45A2-9E2E-FD4434929458}">
  <dimension ref="A1:N17"/>
  <sheetViews>
    <sheetView showGridLines="0" zoomScaleNormal="100" workbookViewId="0">
      <selection activeCell="J1" sqref="J1"/>
    </sheetView>
  </sheetViews>
  <sheetFormatPr defaultRowHeight="14.5"/>
  <cols>
    <col min="1" max="1" width="24.54296875" bestFit="1" customWidth="1"/>
    <col min="2" max="3" width="9.54296875" bestFit="1" customWidth="1"/>
    <col min="4" max="4" width="13.26953125" bestFit="1" customWidth="1"/>
    <col min="5" max="6" width="10.54296875" bestFit="1" customWidth="1"/>
  </cols>
  <sheetData>
    <row r="1" spans="1:14">
      <c r="A1" s="39" t="s">
        <v>247</v>
      </c>
      <c r="B1" s="502" t="s">
        <v>248</v>
      </c>
      <c r="C1" s="502"/>
      <c r="D1" s="502"/>
      <c r="E1" s="502"/>
      <c r="F1" s="502"/>
      <c r="G1" s="502"/>
      <c r="H1" s="502"/>
      <c r="J1" s="145" t="str">
        <f>HYPERLINK("#Contents!A43","BACK TO CONTENTS")</f>
        <v>BACK TO CONTENTS</v>
      </c>
    </row>
    <row r="3" spans="1:14">
      <c r="A3" s="39" t="s">
        <v>22</v>
      </c>
    </row>
    <row r="4" spans="1:14" ht="14.25" customHeight="1" thickBot="1">
      <c r="A4" s="4" t="s">
        <v>306</v>
      </c>
      <c r="B4" s="5">
        <v>2013</v>
      </c>
      <c r="C4" s="5">
        <v>2014</v>
      </c>
      <c r="D4" s="5">
        <v>2015</v>
      </c>
      <c r="E4" s="5">
        <v>2016</v>
      </c>
      <c r="F4" s="5">
        <v>2017</v>
      </c>
      <c r="G4" s="5">
        <v>2018</v>
      </c>
      <c r="H4" s="5">
        <v>2019</v>
      </c>
      <c r="I4" s="5">
        <v>2020</v>
      </c>
      <c r="J4" s="5">
        <v>2021</v>
      </c>
      <c r="K4" s="6">
        <v>2022</v>
      </c>
      <c r="L4" s="6">
        <v>2023</v>
      </c>
    </row>
    <row r="5" spans="1:14" ht="14.25" customHeight="1" thickTop="1">
      <c r="A5" s="142" t="s">
        <v>249</v>
      </c>
      <c r="B5" s="476"/>
      <c r="C5" s="476"/>
      <c r="D5" s="476"/>
      <c r="E5" s="476"/>
      <c r="F5" s="476">
        <v>0</v>
      </c>
      <c r="G5" s="476">
        <v>0</v>
      </c>
      <c r="H5" s="476">
        <v>0</v>
      </c>
      <c r="I5" s="147">
        <v>361</v>
      </c>
      <c r="J5" s="147">
        <v>456</v>
      </c>
      <c r="K5" s="148">
        <v>842</v>
      </c>
      <c r="L5" s="148">
        <v>834.53</v>
      </c>
    </row>
    <row r="6" spans="1:14" ht="14.25" customHeight="1">
      <c r="A6" s="142" t="s">
        <v>250</v>
      </c>
      <c r="B6" s="476"/>
      <c r="C6" s="476"/>
      <c r="D6" s="476"/>
      <c r="E6" s="476"/>
      <c r="F6" s="143">
        <v>3538</v>
      </c>
      <c r="G6" s="143">
        <v>3892</v>
      </c>
      <c r="H6" s="143">
        <v>4551</v>
      </c>
      <c r="I6" s="147">
        <v>5102</v>
      </c>
      <c r="J6" s="147">
        <v>5557</v>
      </c>
      <c r="K6" s="148">
        <v>6636</v>
      </c>
      <c r="L6" s="148">
        <v>7563.99</v>
      </c>
    </row>
    <row r="7" spans="1:14" ht="14.25" customHeight="1">
      <c r="A7" s="142" t="s">
        <v>251</v>
      </c>
      <c r="B7" s="476"/>
      <c r="C7" s="476"/>
      <c r="D7" s="476"/>
      <c r="E7" s="476"/>
      <c r="F7" s="143">
        <v>694</v>
      </c>
      <c r="G7" s="143">
        <v>865</v>
      </c>
      <c r="H7" s="143">
        <v>993</v>
      </c>
      <c r="I7" s="147">
        <v>811</v>
      </c>
      <c r="J7" s="147">
        <v>1745</v>
      </c>
      <c r="K7" s="148">
        <v>481</v>
      </c>
      <c r="L7" s="148">
        <v>362.57</v>
      </c>
    </row>
    <row r="8" spans="1:14" ht="14.25" customHeight="1">
      <c r="A8" s="149" t="s">
        <v>252</v>
      </c>
      <c r="B8" s="150">
        <v>2687</v>
      </c>
      <c r="C8" s="150">
        <v>2892</v>
      </c>
      <c r="D8" s="150">
        <v>3305</v>
      </c>
      <c r="E8" s="150">
        <v>3845</v>
      </c>
      <c r="F8" s="157">
        <f>SUM(F5:F7)</f>
        <v>4232</v>
      </c>
      <c r="G8" s="157">
        <f t="shared" ref="G8:L8" si="0">SUM(G5:G7)</f>
        <v>4757</v>
      </c>
      <c r="H8" s="157">
        <f t="shared" si="0"/>
        <v>5544</v>
      </c>
      <c r="I8" s="157">
        <f t="shared" si="0"/>
        <v>6274</v>
      </c>
      <c r="J8" s="157">
        <f t="shared" si="0"/>
        <v>7758</v>
      </c>
      <c r="K8" s="158">
        <f t="shared" si="0"/>
        <v>7959</v>
      </c>
      <c r="L8" s="158">
        <f t="shared" si="0"/>
        <v>8761.09</v>
      </c>
    </row>
    <row r="9" spans="1:14" ht="14.25" customHeight="1">
      <c r="A9" s="142" t="s">
        <v>253</v>
      </c>
      <c r="B9" s="153">
        <v>998</v>
      </c>
      <c r="C9" s="153">
        <v>1376</v>
      </c>
      <c r="D9" s="153">
        <v>1870</v>
      </c>
      <c r="E9" s="153">
        <v>1706</v>
      </c>
      <c r="F9" s="154">
        <v>2021</v>
      </c>
      <c r="G9" s="154">
        <v>1867</v>
      </c>
      <c r="H9" s="154">
        <v>2237</v>
      </c>
      <c r="I9" s="154">
        <v>2459</v>
      </c>
      <c r="J9" s="154">
        <v>2943</v>
      </c>
      <c r="K9" s="155">
        <v>2773</v>
      </c>
      <c r="L9" s="155">
        <v>2727.85</v>
      </c>
    </row>
    <row r="10" spans="1:14" ht="14.25" customHeight="1">
      <c r="A10" s="142" t="s">
        <v>254</v>
      </c>
      <c r="B10" s="476"/>
      <c r="C10" s="476"/>
      <c r="D10" s="476"/>
      <c r="E10" s="476"/>
      <c r="F10" s="476">
        <v>0</v>
      </c>
      <c r="G10" s="476">
        <v>0</v>
      </c>
      <c r="H10" s="476">
        <v>0</v>
      </c>
      <c r="I10" s="143">
        <v>948</v>
      </c>
      <c r="J10" s="143">
        <v>977</v>
      </c>
      <c r="K10" s="144">
        <v>1994</v>
      </c>
      <c r="L10" s="144">
        <v>4512.8500000000004</v>
      </c>
    </row>
    <row r="11" spans="1:14" ht="14.25" customHeight="1">
      <c r="A11" s="142" t="s">
        <v>255</v>
      </c>
      <c r="B11" s="476"/>
      <c r="C11" s="476"/>
      <c r="D11" s="476"/>
      <c r="E11" s="476"/>
      <c r="F11" s="476">
        <v>0</v>
      </c>
      <c r="G11" s="476">
        <v>0</v>
      </c>
      <c r="H11" s="476">
        <v>0</v>
      </c>
      <c r="I11" s="143">
        <v>3011</v>
      </c>
      <c r="J11" s="143">
        <v>3687</v>
      </c>
      <c r="K11" s="144">
        <v>3193</v>
      </c>
      <c r="L11" s="144">
        <v>1503.74</v>
      </c>
    </row>
    <row r="12" spans="1:14" ht="14.25" customHeight="1">
      <c r="A12" s="149" t="s">
        <v>86</v>
      </c>
      <c r="B12" s="150">
        <v>1689</v>
      </c>
      <c r="C12" s="150">
        <v>1516</v>
      </c>
      <c r="D12" s="150">
        <v>1434</v>
      </c>
      <c r="E12" s="150">
        <v>2138</v>
      </c>
      <c r="F12" s="150">
        <v>2212</v>
      </c>
      <c r="G12" s="150">
        <v>1031</v>
      </c>
      <c r="H12" s="150">
        <v>3307</v>
      </c>
      <c r="I12" s="156">
        <f>SUM(I10:I11)</f>
        <v>3959</v>
      </c>
      <c r="J12" s="156">
        <f>SUM(J10:J11)</f>
        <v>4664</v>
      </c>
      <c r="K12" s="158">
        <f>SUM(K10:K11)</f>
        <v>5187</v>
      </c>
      <c r="L12" s="158">
        <f>SUM(L10:L11)</f>
        <v>6016.59</v>
      </c>
    </row>
    <row r="13" spans="1:14" ht="14.25" customHeight="1">
      <c r="A13" s="159" t="s">
        <v>256</v>
      </c>
      <c r="B13" s="160">
        <f t="shared" ref="B13:L13" si="1">B9+B12</f>
        <v>2687</v>
      </c>
      <c r="C13" s="160">
        <f t="shared" si="1"/>
        <v>2892</v>
      </c>
      <c r="D13" s="160">
        <f t="shared" si="1"/>
        <v>3304</v>
      </c>
      <c r="E13" s="160">
        <f t="shared" si="1"/>
        <v>3844</v>
      </c>
      <c r="F13" s="160">
        <f t="shared" si="1"/>
        <v>4233</v>
      </c>
      <c r="G13" s="160">
        <f t="shared" si="1"/>
        <v>2898</v>
      </c>
      <c r="H13" s="160">
        <f t="shared" si="1"/>
        <v>5544</v>
      </c>
      <c r="I13" s="160">
        <f t="shared" si="1"/>
        <v>6418</v>
      </c>
      <c r="J13" s="160">
        <f t="shared" si="1"/>
        <v>7607</v>
      </c>
      <c r="K13" s="161">
        <f t="shared" si="1"/>
        <v>7960</v>
      </c>
      <c r="L13" s="161">
        <f t="shared" si="1"/>
        <v>8744.44</v>
      </c>
      <c r="N13" s="166"/>
    </row>
    <row r="14" spans="1:14">
      <c r="G14" s="372"/>
      <c r="H14" s="373"/>
      <c r="I14" s="372"/>
      <c r="J14" s="372"/>
      <c r="K14" s="372"/>
      <c r="L14" s="372"/>
    </row>
    <row r="15" spans="1:14" ht="27" customHeight="1">
      <c r="A15" s="34" t="s">
        <v>37</v>
      </c>
      <c r="B15" s="492" t="s">
        <v>257</v>
      </c>
      <c r="C15" s="486"/>
      <c r="D15" s="486"/>
      <c r="E15" s="486"/>
      <c r="F15" s="486"/>
      <c r="G15" s="486"/>
      <c r="H15" s="486"/>
      <c r="I15" s="486"/>
      <c r="J15" s="486"/>
      <c r="K15" s="486"/>
      <c r="L15" s="166"/>
    </row>
    <row r="16" spans="1:14">
      <c r="A16" s="34" t="s">
        <v>30</v>
      </c>
      <c r="B16" s="34" t="s">
        <v>258</v>
      </c>
    </row>
    <row r="17" spans="1:2">
      <c r="A17" s="180" t="s">
        <v>38</v>
      </c>
      <c r="B17" s="181" t="s">
        <v>442</v>
      </c>
    </row>
  </sheetData>
  <protectedRanges>
    <protectedRange sqref="A5:K7 A10:K11 B8:E8 B9:K9 B12:E13" name="Range1"/>
  </protectedRanges>
  <mergeCells count="2">
    <mergeCell ref="B1:H1"/>
    <mergeCell ref="B15:K15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AD2EB-AE69-45E0-8F14-AF0CBAD7925E}">
  <dimension ref="A1:L18"/>
  <sheetViews>
    <sheetView showGridLines="0" workbookViewId="0">
      <selection activeCell="K18" sqref="K18"/>
    </sheetView>
  </sheetViews>
  <sheetFormatPr defaultRowHeight="14.5"/>
  <cols>
    <col min="1" max="1" width="18.7265625" customWidth="1"/>
  </cols>
  <sheetData>
    <row r="1" spans="1:12">
      <c r="A1" s="20" t="s">
        <v>318</v>
      </c>
      <c r="C1" s="479" t="s">
        <v>312</v>
      </c>
      <c r="D1" s="479"/>
      <c r="E1" s="479"/>
      <c r="F1" s="479"/>
      <c r="G1" s="479"/>
      <c r="H1" s="479"/>
      <c r="I1" s="479"/>
      <c r="K1" s="27" t="str">
        <f>HYPERLINK("#Contents!A4","BACK TO CONTENTS")</f>
        <v>BACK TO CONTENTS</v>
      </c>
    </row>
    <row r="3" spans="1:12">
      <c r="A3" s="20" t="s">
        <v>313</v>
      </c>
    </row>
    <row r="4" spans="1:12" ht="15" thickBot="1">
      <c r="A4" s="13"/>
      <c r="B4" s="5">
        <v>2014</v>
      </c>
      <c r="C4" s="5">
        <v>2015</v>
      </c>
      <c r="D4" s="5">
        <v>2016</v>
      </c>
      <c r="E4" s="5">
        <v>2017</v>
      </c>
      <c r="F4" s="5">
        <v>2018</v>
      </c>
      <c r="G4" s="5">
        <v>2019</v>
      </c>
      <c r="H4" s="5">
        <v>2020</v>
      </c>
      <c r="I4" s="14">
        <v>2021</v>
      </c>
      <c r="J4" s="14">
        <v>2022</v>
      </c>
      <c r="K4" s="18">
        <v>2023</v>
      </c>
      <c r="L4" s="18">
        <v>2024</v>
      </c>
    </row>
    <row r="5" spans="1:12" ht="15" thickTop="1">
      <c r="A5" s="16" t="s">
        <v>445</v>
      </c>
      <c r="B5" s="59">
        <f>SUM(B6:B15)</f>
        <v>0</v>
      </c>
      <c r="C5" s="59">
        <f t="shared" ref="C5:L5" si="0">SUM(C6:C15)</f>
        <v>0</v>
      </c>
      <c r="D5" s="59">
        <f t="shared" si="0"/>
        <v>0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379">
        <f t="shared" si="0"/>
        <v>33</v>
      </c>
      <c r="L5" s="369">
        <f t="shared" si="0"/>
        <v>41</v>
      </c>
    </row>
    <row r="6" spans="1:12">
      <c r="A6" s="123" t="s">
        <v>262</v>
      </c>
      <c r="B6" s="464"/>
      <c r="C6" s="464"/>
      <c r="D6" s="464"/>
      <c r="E6" s="464"/>
      <c r="F6" s="464"/>
      <c r="G6" s="464"/>
      <c r="H6" s="464"/>
      <c r="I6" s="464"/>
      <c r="J6" s="464"/>
      <c r="K6" s="124">
        <v>6</v>
      </c>
      <c r="L6" s="124">
        <v>25</v>
      </c>
    </row>
    <row r="7" spans="1:12">
      <c r="A7" s="123" t="s">
        <v>263</v>
      </c>
      <c r="B7" s="464"/>
      <c r="C7" s="464"/>
      <c r="D7" s="464"/>
      <c r="E7" s="464"/>
      <c r="F7" s="464"/>
      <c r="G7" s="464"/>
      <c r="H7" s="464"/>
      <c r="I7" s="464"/>
      <c r="J7" s="464"/>
      <c r="K7" s="124">
        <v>1</v>
      </c>
      <c r="L7" s="124">
        <v>6</v>
      </c>
    </row>
    <row r="8" spans="1:12">
      <c r="A8" s="123" t="s">
        <v>269</v>
      </c>
      <c r="B8" s="464"/>
      <c r="C8" s="464"/>
      <c r="D8" s="464"/>
      <c r="E8" s="464"/>
      <c r="F8" s="464"/>
      <c r="G8" s="464"/>
      <c r="H8" s="464"/>
      <c r="I8" s="464"/>
      <c r="J8" s="464"/>
      <c r="K8" s="124">
        <v>13</v>
      </c>
      <c r="L8" s="124">
        <v>3</v>
      </c>
    </row>
    <row r="9" spans="1:12" ht="28.5" customHeight="1">
      <c r="A9" s="123" t="s">
        <v>271</v>
      </c>
      <c r="B9" s="464"/>
      <c r="C9" s="464"/>
      <c r="D9" s="464"/>
      <c r="E9" s="464"/>
      <c r="F9" s="464"/>
      <c r="G9" s="464"/>
      <c r="H9" s="464"/>
      <c r="I9" s="464"/>
      <c r="J9" s="464"/>
      <c r="K9" s="124">
        <v>0</v>
      </c>
      <c r="L9" s="124">
        <v>0</v>
      </c>
    </row>
    <row r="10" spans="1:12">
      <c r="A10" s="123" t="s">
        <v>265</v>
      </c>
      <c r="B10" s="464"/>
      <c r="C10" s="464"/>
      <c r="D10" s="464"/>
      <c r="E10" s="464"/>
      <c r="F10" s="464"/>
      <c r="G10" s="464"/>
      <c r="H10" s="464"/>
      <c r="I10" s="464"/>
      <c r="J10" s="464"/>
      <c r="K10" s="124">
        <v>0</v>
      </c>
      <c r="L10" s="124">
        <v>0</v>
      </c>
    </row>
    <row r="11" spans="1:12">
      <c r="A11" s="123" t="s">
        <v>264</v>
      </c>
      <c r="B11" s="464"/>
      <c r="C11" s="464"/>
      <c r="D11" s="464"/>
      <c r="E11" s="464"/>
      <c r="F11" s="464"/>
      <c r="G11" s="464"/>
      <c r="H11" s="464"/>
      <c r="I11" s="464"/>
      <c r="J11" s="464"/>
      <c r="K11" s="124">
        <v>12</v>
      </c>
      <c r="L11" s="124">
        <v>6</v>
      </c>
    </row>
    <row r="12" spans="1:12">
      <c r="A12" s="123" t="s">
        <v>270</v>
      </c>
      <c r="B12" s="464"/>
      <c r="C12" s="464"/>
      <c r="D12" s="464"/>
      <c r="E12" s="464"/>
      <c r="F12" s="464"/>
      <c r="G12" s="464"/>
      <c r="H12" s="464"/>
      <c r="I12" s="464"/>
      <c r="J12" s="464"/>
      <c r="K12" s="124">
        <v>0</v>
      </c>
      <c r="L12" s="124">
        <v>0</v>
      </c>
    </row>
    <row r="13" spans="1:12">
      <c r="A13" s="123" t="s">
        <v>266</v>
      </c>
      <c r="B13" s="464"/>
      <c r="C13" s="464"/>
      <c r="D13" s="464"/>
      <c r="E13" s="464"/>
      <c r="F13" s="464"/>
      <c r="G13" s="464"/>
      <c r="H13" s="464"/>
      <c r="I13" s="464"/>
      <c r="J13" s="464"/>
      <c r="K13" s="124">
        <v>1</v>
      </c>
      <c r="L13" s="124">
        <v>1</v>
      </c>
    </row>
    <row r="14" spans="1:12">
      <c r="A14" s="123" t="s">
        <v>319</v>
      </c>
      <c r="B14" s="466"/>
      <c r="C14" s="466"/>
      <c r="D14" s="466"/>
      <c r="E14" s="466"/>
      <c r="F14" s="466"/>
      <c r="G14" s="466"/>
      <c r="H14" s="466"/>
      <c r="I14" s="466"/>
      <c r="J14" s="466"/>
      <c r="K14" s="124">
        <v>0</v>
      </c>
      <c r="L14" s="124">
        <v>0</v>
      </c>
    </row>
    <row r="15" spans="1:12">
      <c r="A15" s="125" t="s">
        <v>320</v>
      </c>
      <c r="B15" s="465"/>
      <c r="C15" s="465"/>
      <c r="D15" s="465"/>
      <c r="E15" s="465"/>
      <c r="F15" s="465"/>
      <c r="G15" s="465"/>
      <c r="H15" s="465"/>
      <c r="I15" s="465"/>
      <c r="J15" s="465"/>
      <c r="K15" s="127">
        <v>0</v>
      </c>
      <c r="L15" s="127">
        <v>0</v>
      </c>
    </row>
    <row r="18" spans="1:2">
      <c r="A18" s="180" t="s">
        <v>336</v>
      </c>
      <c r="B18" s="34" t="s">
        <v>442</v>
      </c>
    </row>
  </sheetData>
  <mergeCells count="1">
    <mergeCell ref="C1:I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5A98E-B512-41E8-9F50-9A768D2A04FD}">
  <dimension ref="A1:K12"/>
  <sheetViews>
    <sheetView showGridLines="0" workbookViewId="0">
      <selection activeCell="C14" sqref="C14"/>
    </sheetView>
  </sheetViews>
  <sheetFormatPr defaultRowHeight="14.5"/>
  <cols>
    <col min="1" max="1" width="19.26953125" customWidth="1"/>
  </cols>
  <sheetData>
    <row r="1" spans="1:11">
      <c r="A1" s="20" t="s">
        <v>401</v>
      </c>
      <c r="C1" s="479" t="s">
        <v>402</v>
      </c>
      <c r="D1" s="479"/>
      <c r="E1" s="479"/>
      <c r="F1" s="479"/>
      <c r="G1" s="479"/>
      <c r="H1" s="479"/>
      <c r="I1" s="479"/>
      <c r="K1" s="27" t="str">
        <f>HYPERLINK("#Contents!A4","BACK TO CONTENTS")</f>
        <v>BACK TO CONTENTS</v>
      </c>
    </row>
    <row r="2" spans="1:11">
      <c r="A2" s="20"/>
      <c r="C2" s="20"/>
      <c r="D2" s="20"/>
      <c r="E2" s="20"/>
      <c r="F2" s="20"/>
      <c r="G2" s="20"/>
      <c r="H2" s="20"/>
      <c r="I2" s="20"/>
    </row>
    <row r="3" spans="1:11">
      <c r="A3" s="39" t="s">
        <v>403</v>
      </c>
    </row>
    <row r="4" spans="1:11" ht="15" thickBot="1">
      <c r="A4" s="13" t="s">
        <v>443</v>
      </c>
      <c r="B4" s="5">
        <v>2014</v>
      </c>
      <c r="C4" s="5">
        <v>2015</v>
      </c>
      <c r="D4" s="5">
        <v>2016</v>
      </c>
      <c r="E4" s="5">
        <v>2017</v>
      </c>
      <c r="F4" s="5">
        <v>2018</v>
      </c>
      <c r="G4" s="5">
        <v>2019</v>
      </c>
      <c r="H4" s="5">
        <v>2020</v>
      </c>
      <c r="I4" s="14">
        <v>2021</v>
      </c>
      <c r="J4" s="14">
        <v>2022</v>
      </c>
      <c r="K4" s="18">
        <v>2023</v>
      </c>
    </row>
    <row r="5" spans="1:11" ht="15" thickTop="1">
      <c r="A5" s="123" t="s">
        <v>82</v>
      </c>
      <c r="B5" s="122"/>
      <c r="C5" s="464"/>
      <c r="D5" s="464"/>
      <c r="E5" s="464"/>
      <c r="F5" s="464"/>
      <c r="G5" s="464"/>
      <c r="H5" s="464"/>
      <c r="I5" s="464"/>
      <c r="J5" s="122">
        <v>20</v>
      </c>
      <c r="K5" s="124">
        <v>21</v>
      </c>
    </row>
    <row r="6" spans="1:11">
      <c r="A6" s="123" t="s">
        <v>86</v>
      </c>
      <c r="B6" s="122"/>
      <c r="C6" s="464"/>
      <c r="D6" s="464"/>
      <c r="E6" s="464"/>
      <c r="F6" s="464"/>
      <c r="G6" s="464"/>
      <c r="H6" s="464"/>
      <c r="I6" s="464"/>
      <c r="J6" s="122">
        <v>7</v>
      </c>
      <c r="K6" s="124">
        <v>6</v>
      </c>
    </row>
    <row r="7" spans="1:11">
      <c r="A7" s="123" t="s">
        <v>256</v>
      </c>
      <c r="B7" s="122"/>
      <c r="C7" s="464"/>
      <c r="D7" s="464"/>
      <c r="E7" s="464"/>
      <c r="F7" s="464"/>
      <c r="G7" s="464"/>
      <c r="H7" s="464"/>
      <c r="I7" s="464"/>
      <c r="J7" s="122">
        <v>20</v>
      </c>
      <c r="K7" s="124">
        <v>27</v>
      </c>
    </row>
    <row r="8" spans="1:11">
      <c r="A8" s="123" t="s">
        <v>404</v>
      </c>
      <c r="B8" s="122"/>
      <c r="C8" s="464"/>
      <c r="D8" s="464"/>
      <c r="E8" s="464"/>
      <c r="F8" s="464"/>
      <c r="G8" s="464"/>
      <c r="H8" s="464"/>
      <c r="I8" s="464"/>
      <c r="J8" s="122">
        <v>2</v>
      </c>
      <c r="K8" s="124">
        <v>3</v>
      </c>
    </row>
    <row r="9" spans="1:11">
      <c r="A9" s="123" t="s">
        <v>405</v>
      </c>
      <c r="B9" s="122"/>
      <c r="C9" s="464"/>
      <c r="D9" s="464"/>
      <c r="E9" s="464"/>
      <c r="F9" s="464"/>
      <c r="G9" s="464"/>
      <c r="H9" s="464"/>
      <c r="I9" s="464"/>
      <c r="J9" s="122">
        <v>1</v>
      </c>
      <c r="K9" s="124">
        <v>2</v>
      </c>
    </row>
    <row r="10" spans="1:11">
      <c r="A10" s="125" t="s">
        <v>215</v>
      </c>
      <c r="B10" s="126"/>
      <c r="C10" s="477"/>
      <c r="D10" s="477"/>
      <c r="E10" s="477"/>
      <c r="F10" s="477"/>
      <c r="G10" s="477"/>
      <c r="H10" s="477"/>
      <c r="I10" s="477"/>
      <c r="J10" s="126">
        <v>2</v>
      </c>
      <c r="K10" s="127">
        <v>0.2</v>
      </c>
    </row>
    <row r="12" spans="1:11">
      <c r="A12" s="180" t="s">
        <v>336</v>
      </c>
      <c r="B12" s="34" t="s">
        <v>442</v>
      </c>
    </row>
  </sheetData>
  <mergeCells count="1">
    <mergeCell ref="C1:I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91E41-244E-440C-99C1-61B569D4C7D7}">
  <dimension ref="O1"/>
  <sheetViews>
    <sheetView showGridLines="0" zoomScale="80" zoomScaleNormal="80" workbookViewId="0">
      <selection activeCell="O1" sqref="O1"/>
    </sheetView>
  </sheetViews>
  <sheetFormatPr defaultRowHeight="14.5"/>
  <sheetData>
    <row r="1" spans="15:15">
      <c r="O1" s="27" t="str">
        <f>HYPERLINK("#Contents!A43","BACK TO CONTENTS")</f>
        <v>BACK TO CONTENTS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CACEA-4EE4-483B-9576-74EDCDED577C}">
  <dimension ref="A1:Q26"/>
  <sheetViews>
    <sheetView showGridLines="0" zoomScaleNormal="100" workbookViewId="0">
      <selection activeCell="G21" sqref="G21"/>
    </sheetView>
  </sheetViews>
  <sheetFormatPr defaultColWidth="9.1796875" defaultRowHeight="14"/>
  <cols>
    <col min="1" max="1" width="25.81640625" style="19" customWidth="1"/>
    <col min="2" max="6" width="11.26953125" style="19" bestFit="1" customWidth="1"/>
    <col min="7" max="7" width="11.26953125" style="19" customWidth="1"/>
    <col min="8" max="8" width="9.1796875" style="19"/>
    <col min="9" max="9" width="11.26953125" style="19" customWidth="1"/>
    <col min="10" max="10" width="9.81640625" style="19" customWidth="1"/>
    <col min="11" max="11" width="9" style="19" customWidth="1"/>
    <col min="12" max="12" width="11.453125" style="19" bestFit="1" customWidth="1"/>
    <col min="13" max="13" width="10.1796875" style="19" bestFit="1" customWidth="1"/>
    <col min="14" max="16384" width="9.1796875" style="19"/>
  </cols>
  <sheetData>
    <row r="1" spans="1:17" ht="14.5">
      <c r="A1" s="20" t="s">
        <v>20</v>
      </c>
      <c r="B1" s="484" t="s">
        <v>21</v>
      </c>
      <c r="C1" s="484"/>
      <c r="D1" s="484"/>
      <c r="E1" s="484"/>
      <c r="F1" s="484"/>
      <c r="G1" s="484"/>
      <c r="K1" s="27" t="str">
        <f>HYPERLINK("#Contents!A4","BACK TO CONTENTS")</f>
        <v>BACK TO CONTENTS</v>
      </c>
    </row>
    <row r="2" spans="1:17">
      <c r="B2" s="484"/>
      <c r="C2" s="484"/>
      <c r="D2" s="484"/>
      <c r="E2" s="484"/>
      <c r="F2" s="484"/>
      <c r="G2" s="484"/>
    </row>
    <row r="3" spans="1:17">
      <c r="A3" s="41" t="s">
        <v>22</v>
      </c>
      <c r="B3" s="34"/>
      <c r="C3" s="11"/>
      <c r="D3" s="11"/>
      <c r="E3" s="11"/>
      <c r="F3" s="34"/>
      <c r="G3" s="34"/>
      <c r="H3" s="11"/>
      <c r="I3" s="11"/>
      <c r="J3" s="11"/>
      <c r="K3" s="11"/>
      <c r="Q3" s="36"/>
    </row>
    <row r="4" spans="1:17" ht="14.5" thickBot="1">
      <c r="A4" s="13" t="s">
        <v>23</v>
      </c>
      <c r="B4" s="5">
        <v>2013</v>
      </c>
      <c r="C4" s="5">
        <v>2014</v>
      </c>
      <c r="D4" s="5">
        <v>2015</v>
      </c>
      <c r="E4" s="5">
        <v>2016</v>
      </c>
      <c r="F4" s="5">
        <v>2017</v>
      </c>
      <c r="G4" s="5">
        <v>2018</v>
      </c>
      <c r="H4" s="5">
        <v>2019</v>
      </c>
      <c r="I4" s="14">
        <v>2020</v>
      </c>
      <c r="J4" s="14">
        <v>2021</v>
      </c>
      <c r="K4" s="14">
        <v>2022</v>
      </c>
      <c r="L4" s="368">
        <v>2023</v>
      </c>
      <c r="Q4" s="36"/>
    </row>
    <row r="5" spans="1:17" ht="14.5" thickTop="1">
      <c r="A5" s="16" t="s">
        <v>406</v>
      </c>
      <c r="B5" s="59">
        <f>SUM(B6:B9)</f>
        <v>88855</v>
      </c>
      <c r="C5" s="59">
        <f>SUM(C6:C9)</f>
        <v>93208</v>
      </c>
      <c r="D5" s="59">
        <f>SUM(D6:D9)</f>
        <v>106075</v>
      </c>
      <c r="E5" s="59">
        <f>SUM(E6:E9)</f>
        <v>107243</v>
      </c>
      <c r="F5" s="59">
        <f t="shared" ref="F5:K5" si="0">SUM(F6:F9)</f>
        <v>108329</v>
      </c>
      <c r="G5" s="59">
        <f t="shared" si="0"/>
        <v>112975.239</v>
      </c>
      <c r="H5" s="59">
        <f t="shared" si="0"/>
        <v>117363.791</v>
      </c>
      <c r="I5" s="59">
        <f t="shared" si="0"/>
        <v>121817.58</v>
      </c>
      <c r="J5" s="59">
        <f t="shared" si="0"/>
        <v>142229.70500000002</v>
      </c>
      <c r="K5" s="59">
        <f t="shared" si="0"/>
        <v>150467.50017700001</v>
      </c>
      <c r="L5" s="386">
        <f>SUM(L6:L9)</f>
        <v>160602.18000000002</v>
      </c>
      <c r="Q5" s="36"/>
    </row>
    <row r="6" spans="1:17">
      <c r="A6" s="12" t="s">
        <v>412</v>
      </c>
      <c r="B6" s="61">
        <f>'3.02'!B5</f>
        <v>19819</v>
      </c>
      <c r="C6" s="61">
        <f>'3.02'!C5</f>
        <v>22902</v>
      </c>
      <c r="D6" s="61">
        <f>'3.02'!D5</f>
        <v>22659</v>
      </c>
      <c r="E6" s="61">
        <f>'3.02'!E5</f>
        <v>22749</v>
      </c>
      <c r="F6" s="61">
        <f>'3.02'!F5</f>
        <v>18850</v>
      </c>
      <c r="G6" s="61">
        <f>'3.02'!G5</f>
        <v>20074.239000000001</v>
      </c>
      <c r="H6" s="61">
        <f>'3.02'!H5</f>
        <v>21552.791000000001</v>
      </c>
      <c r="I6" s="61">
        <f>'3.02'!I5</f>
        <v>22877.58</v>
      </c>
      <c r="J6" s="61">
        <f>'3.02'!J5</f>
        <v>23698.705000000002</v>
      </c>
      <c r="K6" s="61">
        <f>'3.02'!K5</f>
        <v>24504.500177000002</v>
      </c>
      <c r="L6" s="387">
        <f>'3.02'!L5</f>
        <v>20927</v>
      </c>
      <c r="Q6" s="36"/>
    </row>
    <row r="7" spans="1:17">
      <c r="A7" s="12" t="s">
        <v>25</v>
      </c>
      <c r="B7" s="61">
        <f>'4.12'!B5</f>
        <v>58651</v>
      </c>
      <c r="C7" s="61">
        <f>'4.12'!C5</f>
        <v>59392</v>
      </c>
      <c r="D7" s="61">
        <f>'4.12'!D5</f>
        <v>73845</v>
      </c>
      <c r="E7" s="61">
        <f>'4.12'!E5</f>
        <v>75129</v>
      </c>
      <c r="F7" s="61">
        <f>'4.12'!F5</f>
        <v>78855</v>
      </c>
      <c r="G7" s="61">
        <f>'4.12'!G5</f>
        <v>81818</v>
      </c>
      <c r="H7" s="61">
        <f>'4.12'!H5</f>
        <v>88573</v>
      </c>
      <c r="I7" s="61">
        <f>'4.12'!I5</f>
        <v>91823</v>
      </c>
      <c r="J7" s="61">
        <f>'4.12'!J5</f>
        <v>109977</v>
      </c>
      <c r="K7" s="385">
        <f>'4.12'!K5</f>
        <v>117109</v>
      </c>
      <c r="L7" s="388">
        <f>'4.12'!L5</f>
        <v>130022.71</v>
      </c>
      <c r="Q7" s="36"/>
    </row>
    <row r="8" spans="1:17">
      <c r="A8" s="12" t="s">
        <v>413</v>
      </c>
      <c r="B8" s="61">
        <f>'5.02'!B5</f>
        <v>7698</v>
      </c>
      <c r="C8" s="61">
        <f>'5.02'!C5</f>
        <v>8022</v>
      </c>
      <c r="D8" s="61">
        <f>'5.02'!D5</f>
        <v>6266</v>
      </c>
      <c r="E8" s="61">
        <f>'5.02'!E5</f>
        <v>5520</v>
      </c>
      <c r="F8" s="61">
        <f>'5.02'!F5</f>
        <v>6392</v>
      </c>
      <c r="G8" s="61">
        <f>'5.02'!G5</f>
        <v>6326</v>
      </c>
      <c r="H8" s="61">
        <f>'5.02'!H5</f>
        <v>1694</v>
      </c>
      <c r="I8" s="61">
        <f>'5.02'!I5</f>
        <v>843</v>
      </c>
      <c r="J8" s="61">
        <f>'5.02'!J5</f>
        <v>796</v>
      </c>
      <c r="K8" s="61">
        <f>'5.02'!K5</f>
        <v>895</v>
      </c>
      <c r="L8" s="387">
        <f>'5.02'!L5</f>
        <v>920.99999999999989</v>
      </c>
      <c r="M8" s="423"/>
      <c r="Q8" s="36"/>
    </row>
    <row r="9" spans="1:17">
      <c r="A9" s="12" t="s">
        <v>19</v>
      </c>
      <c r="B9" s="93">
        <f>'6.03'!B8</f>
        <v>2687</v>
      </c>
      <c r="C9" s="93">
        <f>'6.03'!C8</f>
        <v>2892</v>
      </c>
      <c r="D9" s="93">
        <f>'6.03'!D8</f>
        <v>3305</v>
      </c>
      <c r="E9" s="93">
        <f>'6.03'!E8</f>
        <v>3845</v>
      </c>
      <c r="F9" s="93">
        <f>'6.03'!F8</f>
        <v>4232</v>
      </c>
      <c r="G9" s="93">
        <f>'6.03'!G8</f>
        <v>4757</v>
      </c>
      <c r="H9" s="93">
        <f>'6.03'!H8</f>
        <v>5544</v>
      </c>
      <c r="I9" s="93">
        <f>'6.03'!I8</f>
        <v>6274</v>
      </c>
      <c r="J9" s="93">
        <f>'6.03'!J8</f>
        <v>7758</v>
      </c>
      <c r="K9" s="93">
        <f>'6.03'!K8</f>
        <v>7959</v>
      </c>
      <c r="L9" s="389">
        <v>8731.4699999999993</v>
      </c>
      <c r="M9" s="423"/>
      <c r="Q9" s="36"/>
    </row>
    <row r="10" spans="1:17">
      <c r="A10" s="16" t="s">
        <v>26</v>
      </c>
      <c r="B10" s="59">
        <f>SUM(B11:B14)</f>
        <v>4089</v>
      </c>
      <c r="C10" s="59">
        <f>SUM(C11:C14)</f>
        <v>5453</v>
      </c>
      <c r="D10" s="59">
        <f>SUM(D11:D14)</f>
        <v>6144</v>
      </c>
      <c r="E10" s="59">
        <f>SUM(E11:E14)</f>
        <v>6128</v>
      </c>
      <c r="F10" s="59">
        <f t="shared" ref="F10:K10" si="1">SUM(F11:F14)</f>
        <v>10817</v>
      </c>
      <c r="G10" s="59">
        <f t="shared" si="1"/>
        <v>8078.1229999999996</v>
      </c>
      <c r="H10" s="59">
        <f t="shared" si="1"/>
        <v>8562.6270000000004</v>
      </c>
      <c r="I10" s="59">
        <f t="shared" si="1"/>
        <v>9237.7939999999999</v>
      </c>
      <c r="J10" s="59">
        <f t="shared" si="1"/>
        <v>10214.859</v>
      </c>
      <c r="K10" s="59">
        <f t="shared" si="1"/>
        <v>9872.5929049999995</v>
      </c>
      <c r="L10" s="386">
        <f>SUM(L11:L14)</f>
        <v>13013.523999999999</v>
      </c>
      <c r="M10" s="61"/>
      <c r="N10" s="61"/>
      <c r="O10" s="61"/>
      <c r="Q10" s="36"/>
    </row>
    <row r="11" spans="1:17">
      <c r="A11" s="12" t="s">
        <v>412</v>
      </c>
      <c r="B11" s="61">
        <f>'3.02'!B13</f>
        <v>2748</v>
      </c>
      <c r="C11" s="61">
        <f>'3.02'!C13</f>
        <v>3717</v>
      </c>
      <c r="D11" s="61">
        <f>'3.02'!D13</f>
        <v>3877</v>
      </c>
      <c r="E11" s="61">
        <f>'3.02'!E13</f>
        <v>4026</v>
      </c>
      <c r="F11" s="61">
        <f>'3.02'!F13</f>
        <v>4646</v>
      </c>
      <c r="G11" s="61">
        <f>'3.02'!G13</f>
        <v>4460.1229999999996</v>
      </c>
      <c r="H11" s="61">
        <f>'3.02'!H13</f>
        <v>4813.6270000000004</v>
      </c>
      <c r="I11" s="61">
        <f>'3.02'!I13</f>
        <v>5299.7939999999999</v>
      </c>
      <c r="J11" s="61">
        <f>'3.02'!J13</f>
        <v>5469.8590000000004</v>
      </c>
      <c r="K11" s="404">
        <f>'3.02'!K13</f>
        <v>5660.5929049999995</v>
      </c>
      <c r="L11" s="387">
        <f>'3.02'!L13</f>
        <v>5231</v>
      </c>
      <c r="M11" s="61"/>
      <c r="N11" s="61"/>
      <c r="O11" s="61"/>
      <c r="Q11" s="36"/>
    </row>
    <row r="12" spans="1:17">
      <c r="A12" s="12" t="s">
        <v>414</v>
      </c>
      <c r="B12" s="167"/>
      <c r="C12" s="167"/>
      <c r="D12" s="167"/>
      <c r="E12" s="167"/>
      <c r="F12" s="61">
        <f>'4.14'!F7</f>
        <v>3665</v>
      </c>
      <c r="G12" s="61">
        <f>'4.14'!G7</f>
        <v>1254</v>
      </c>
      <c r="H12" s="61">
        <f>'4.14'!H7</f>
        <v>1012</v>
      </c>
      <c r="I12" s="61">
        <f>'4.14'!I7</f>
        <v>1014</v>
      </c>
      <c r="J12" s="61">
        <f>'4.14'!J7</f>
        <v>1316</v>
      </c>
      <c r="K12" s="404">
        <f>'4.14'!K7</f>
        <v>975</v>
      </c>
      <c r="L12" s="387">
        <f>'4.14'!L7</f>
        <v>4580</v>
      </c>
      <c r="M12" s="61"/>
      <c r="N12" s="61"/>
      <c r="O12" s="61"/>
      <c r="Q12" s="36"/>
    </row>
    <row r="13" spans="1:17">
      <c r="A13" s="12" t="s">
        <v>413</v>
      </c>
      <c r="B13" s="61">
        <f>'5.02'!B13</f>
        <v>343</v>
      </c>
      <c r="C13" s="61">
        <f>'5.02'!C13</f>
        <v>360</v>
      </c>
      <c r="D13" s="61">
        <f>'5.02'!D13</f>
        <v>397</v>
      </c>
      <c r="E13" s="61">
        <f>'5.02'!E13</f>
        <v>396</v>
      </c>
      <c r="F13" s="61">
        <f>'5.02'!F13</f>
        <v>485</v>
      </c>
      <c r="G13" s="61">
        <f>'5.02'!G13</f>
        <v>497</v>
      </c>
      <c r="H13" s="61">
        <f>'5.02'!H13</f>
        <v>500</v>
      </c>
      <c r="I13" s="61">
        <f>'5.02'!I13</f>
        <v>465</v>
      </c>
      <c r="J13" s="61">
        <f>'5.02'!J13</f>
        <v>486</v>
      </c>
      <c r="K13" s="404">
        <f>'5.02'!K13</f>
        <v>464</v>
      </c>
      <c r="L13" s="387">
        <f>'5.02'!L13</f>
        <v>475.524</v>
      </c>
      <c r="M13" s="75"/>
      <c r="N13" s="75"/>
      <c r="O13" s="76"/>
      <c r="Q13" s="36"/>
    </row>
    <row r="14" spans="1:17">
      <c r="A14" s="12" t="s">
        <v>28</v>
      </c>
      <c r="B14" s="93">
        <f>'6.03'!B9</f>
        <v>998</v>
      </c>
      <c r="C14" s="93">
        <f>'6.03'!C9</f>
        <v>1376</v>
      </c>
      <c r="D14" s="93">
        <f>'6.03'!D9</f>
        <v>1870</v>
      </c>
      <c r="E14" s="93">
        <f>'6.03'!E9</f>
        <v>1706</v>
      </c>
      <c r="F14" s="93">
        <f>'6.03'!F9</f>
        <v>2021</v>
      </c>
      <c r="G14" s="93">
        <f>'6.03'!G9</f>
        <v>1867</v>
      </c>
      <c r="H14" s="93">
        <f>'6.03'!H9</f>
        <v>2237</v>
      </c>
      <c r="I14" s="93">
        <f>'6.03'!I9</f>
        <v>2459</v>
      </c>
      <c r="J14" s="93">
        <f>'6.03'!J9</f>
        <v>2943</v>
      </c>
      <c r="K14" s="61">
        <f>'6.03'!K9</f>
        <v>2773</v>
      </c>
      <c r="L14" s="387">
        <v>2727</v>
      </c>
      <c r="M14" s="423"/>
      <c r="Q14" s="36"/>
    </row>
    <row r="15" spans="1:17">
      <c r="A15" s="16" t="s">
        <v>29</v>
      </c>
      <c r="B15" s="59">
        <f t="shared" ref="B15:L15" si="2">SUM(B16:B19)</f>
        <v>26412</v>
      </c>
      <c r="C15" s="59">
        <f t="shared" si="2"/>
        <v>27523</v>
      </c>
      <c r="D15" s="59">
        <f t="shared" si="2"/>
        <v>25550</v>
      </c>
      <c r="E15" s="59">
        <f t="shared" si="2"/>
        <v>25382</v>
      </c>
      <c r="F15" s="59">
        <f t="shared" si="2"/>
        <v>103652</v>
      </c>
      <c r="G15" s="59">
        <f t="shared" si="2"/>
        <v>103019.117</v>
      </c>
      <c r="H15" s="59">
        <f t="shared" si="2"/>
        <v>108809.163</v>
      </c>
      <c r="I15" s="59">
        <f t="shared" si="2"/>
        <v>112686.656</v>
      </c>
      <c r="J15" s="59">
        <f t="shared" si="2"/>
        <v>131827.845</v>
      </c>
      <c r="K15" s="59">
        <f t="shared" si="2"/>
        <v>140599.90727200001</v>
      </c>
      <c r="L15" s="386">
        <f t="shared" si="2"/>
        <v>147589.85</v>
      </c>
      <c r="M15" s="423"/>
      <c r="Q15" s="36"/>
    </row>
    <row r="16" spans="1:17">
      <c r="A16" s="12" t="s">
        <v>412</v>
      </c>
      <c r="B16" s="61">
        <f>'3.02'!B21</f>
        <v>17369</v>
      </c>
      <c r="C16" s="61">
        <f>'3.02'!C21</f>
        <v>18345</v>
      </c>
      <c r="D16" s="61">
        <f>'3.02'!D21</f>
        <v>18247</v>
      </c>
      <c r="E16" s="61">
        <f>'3.02'!E21</f>
        <v>18119</v>
      </c>
      <c r="F16" s="61">
        <f>'3.02'!F21</f>
        <v>20235</v>
      </c>
      <c r="G16" s="61">
        <f>'3.02'!G21</f>
        <v>15613.117</v>
      </c>
      <c r="H16" s="61">
        <f>'3.02'!H21</f>
        <v>16744.163</v>
      </c>
      <c r="I16" s="61">
        <f>'3.02'!I21</f>
        <v>17581.656000000003</v>
      </c>
      <c r="J16" s="61">
        <f>'3.02'!J21</f>
        <v>18227.845000000001</v>
      </c>
      <c r="K16" s="61">
        <f>'3.02'!K21</f>
        <v>18842.907272</v>
      </c>
      <c r="L16" s="387">
        <f>'3.02'!L21</f>
        <v>15694</v>
      </c>
      <c r="Q16" s="36"/>
    </row>
    <row r="17" spans="1:17">
      <c r="A17" s="12" t="s">
        <v>17</v>
      </c>
      <c r="B17" s="167"/>
      <c r="C17" s="167"/>
      <c r="D17" s="167"/>
      <c r="E17" s="167"/>
      <c r="F17" s="61">
        <f>'4.14'!F6</f>
        <v>75298</v>
      </c>
      <c r="G17" s="61">
        <f>'4.14'!G6</f>
        <v>80545</v>
      </c>
      <c r="H17" s="61">
        <f>'4.14'!H6</f>
        <v>87552</v>
      </c>
      <c r="I17" s="61">
        <f>'4.14'!I6</f>
        <v>90800</v>
      </c>
      <c r="J17" s="61">
        <f>'4.14'!J6</f>
        <v>108660</v>
      </c>
      <c r="K17" s="404">
        <f>'4.14'!K6</f>
        <v>116133</v>
      </c>
      <c r="L17" s="387">
        <f>'4.14'!L6</f>
        <v>125442</v>
      </c>
      <c r="Q17" s="36"/>
    </row>
    <row r="18" spans="1:17">
      <c r="A18" s="12" t="s">
        <v>407</v>
      </c>
      <c r="B18" s="61">
        <f>'5.02'!B21</f>
        <v>7354</v>
      </c>
      <c r="C18" s="61">
        <f>'5.02'!C21</f>
        <v>7662</v>
      </c>
      <c r="D18" s="61">
        <f>'5.02'!D21</f>
        <v>5869</v>
      </c>
      <c r="E18" s="61">
        <f>'5.02'!E21</f>
        <v>5125</v>
      </c>
      <c r="F18" s="61">
        <f>'5.02'!F21</f>
        <v>5907</v>
      </c>
      <c r="G18" s="61">
        <f>'5.02'!G21</f>
        <v>5830</v>
      </c>
      <c r="H18" s="61">
        <f>'5.02'!H21</f>
        <v>1206</v>
      </c>
      <c r="I18" s="61">
        <f>'5.02'!I21</f>
        <v>346</v>
      </c>
      <c r="J18" s="61">
        <f>'5.02'!J21</f>
        <v>276</v>
      </c>
      <c r="K18" s="404">
        <f>'5.02'!K21</f>
        <v>437</v>
      </c>
      <c r="L18" s="387">
        <f>'5.02'!L21</f>
        <v>445.4</v>
      </c>
      <c r="M18" s="423"/>
      <c r="Q18" s="36"/>
    </row>
    <row r="19" spans="1:17">
      <c r="A19" s="113" t="s">
        <v>19</v>
      </c>
      <c r="B19" s="176">
        <f>'6.03'!B12</f>
        <v>1689</v>
      </c>
      <c r="C19" s="176">
        <f>'6.03'!C12</f>
        <v>1516</v>
      </c>
      <c r="D19" s="176">
        <f>'6.03'!D12</f>
        <v>1434</v>
      </c>
      <c r="E19" s="176">
        <f>'6.03'!E12</f>
        <v>2138</v>
      </c>
      <c r="F19" s="176">
        <f>'6.03'!F12</f>
        <v>2212</v>
      </c>
      <c r="G19" s="176">
        <f>'6.03'!G12</f>
        <v>1031</v>
      </c>
      <c r="H19" s="176">
        <f>'6.03'!H12</f>
        <v>3307</v>
      </c>
      <c r="I19" s="176">
        <f>'6.03'!I12</f>
        <v>3959</v>
      </c>
      <c r="J19" s="176">
        <f>'6.03'!J12</f>
        <v>4664</v>
      </c>
      <c r="K19" s="176">
        <f>'6.03'!K12</f>
        <v>5187</v>
      </c>
      <c r="L19" s="390">
        <v>6008.45</v>
      </c>
      <c r="M19" s="423"/>
      <c r="Q19" s="36"/>
    </row>
    <row r="20" spans="1:17">
      <c r="A20" s="60"/>
      <c r="B20" s="52"/>
      <c r="C20" s="52"/>
      <c r="D20" s="52"/>
      <c r="E20" s="52"/>
      <c r="F20" s="52"/>
      <c r="G20" s="52"/>
      <c r="Q20" s="36"/>
    </row>
    <row r="21" spans="1:17" ht="14.5">
      <c r="A21" s="170" t="s">
        <v>37</v>
      </c>
      <c r="B21" s="34" t="s">
        <v>408</v>
      </c>
      <c r="C21"/>
      <c r="D21" s="34"/>
      <c r="E21" s="34"/>
      <c r="F21" s="34"/>
      <c r="G21" s="34"/>
      <c r="H21"/>
    </row>
    <row r="22" spans="1:17" ht="14.5">
      <c r="A22" s="170" t="s">
        <v>38</v>
      </c>
      <c r="B22" s="34" t="s">
        <v>411</v>
      </c>
      <c r="C22"/>
      <c r="D22" s="34"/>
      <c r="E22" s="34"/>
      <c r="F22" s="34"/>
      <c r="G22" s="34"/>
      <c r="H22"/>
    </row>
    <row r="23" spans="1:17" ht="14.5">
      <c r="A23" s="170" t="s">
        <v>39</v>
      </c>
      <c r="B23" s="34" t="s">
        <v>337</v>
      </c>
      <c r="C23"/>
      <c r="D23" s="34"/>
      <c r="E23" s="34"/>
      <c r="F23" s="34"/>
      <c r="G23" s="34"/>
      <c r="H23"/>
    </row>
    <row r="24" spans="1:17">
      <c r="A24" s="34" t="s">
        <v>322</v>
      </c>
      <c r="B24" s="34" t="s">
        <v>341</v>
      </c>
    </row>
    <row r="25" spans="1:17">
      <c r="B25" s="34"/>
    </row>
    <row r="26" spans="1:17">
      <c r="B26" s="34"/>
    </row>
  </sheetData>
  <mergeCells count="1">
    <mergeCell ref="B1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CA4B7-30D5-4A9F-9A08-D502F9AFD590}">
  <dimension ref="A1:L23"/>
  <sheetViews>
    <sheetView showGridLines="0" zoomScaleNormal="100" workbookViewId="0">
      <selection activeCell="M13" sqref="M13"/>
    </sheetView>
  </sheetViews>
  <sheetFormatPr defaultRowHeight="14.5"/>
  <cols>
    <col min="1" max="1" width="24" customWidth="1"/>
    <col min="8" max="8" width="12.81640625" customWidth="1"/>
    <col min="9" max="12" width="11.81640625" bestFit="1" customWidth="1"/>
    <col min="13" max="13" width="13.1796875" bestFit="1" customWidth="1"/>
  </cols>
  <sheetData>
    <row r="1" spans="1:12">
      <c r="A1" s="20" t="s">
        <v>31</v>
      </c>
      <c r="B1" s="485" t="s">
        <v>32</v>
      </c>
      <c r="C1" s="485"/>
      <c r="D1" s="485"/>
      <c r="E1" s="485"/>
      <c r="F1" s="485"/>
      <c r="G1" s="485"/>
      <c r="H1" s="485"/>
      <c r="I1" s="486"/>
      <c r="K1" s="27" t="str">
        <f>HYPERLINK("#Contents!A4","BACK TO CONTENTS")</f>
        <v>BACK TO CONTENTS</v>
      </c>
    </row>
    <row r="2" spans="1:12">
      <c r="A2" s="19"/>
      <c r="B2" s="485"/>
      <c r="C2" s="485"/>
      <c r="D2" s="485"/>
      <c r="E2" s="485"/>
      <c r="F2" s="485"/>
      <c r="G2" s="485"/>
      <c r="H2" s="485"/>
      <c r="I2" s="486"/>
    </row>
    <row r="3" spans="1:12" ht="14.25" customHeight="1">
      <c r="A3" s="41" t="s">
        <v>22</v>
      </c>
      <c r="B3" s="34"/>
      <c r="C3" s="11"/>
      <c r="D3" s="11"/>
      <c r="E3" s="11"/>
      <c r="F3" s="34"/>
      <c r="G3" s="34"/>
      <c r="H3" s="11"/>
      <c r="I3" s="11"/>
    </row>
    <row r="4" spans="1:12" ht="14.25" customHeight="1" thickBot="1">
      <c r="A4" s="13" t="s">
        <v>16</v>
      </c>
      <c r="B4" s="5">
        <v>2013</v>
      </c>
      <c r="C4" s="5">
        <v>2014</v>
      </c>
      <c r="D4" s="5">
        <v>2015</v>
      </c>
      <c r="E4" s="5">
        <v>2016</v>
      </c>
      <c r="F4" s="5">
        <v>2017</v>
      </c>
      <c r="G4" s="5">
        <v>2018</v>
      </c>
      <c r="H4" s="5">
        <v>2019</v>
      </c>
      <c r="I4" s="14">
        <v>2020</v>
      </c>
      <c r="J4" s="14">
        <v>2021</v>
      </c>
      <c r="K4" s="14">
        <v>2022</v>
      </c>
      <c r="L4" s="368">
        <v>2023</v>
      </c>
    </row>
    <row r="5" spans="1:12" ht="14.25" customHeight="1" thickTop="1">
      <c r="A5" s="16" t="s">
        <v>64</v>
      </c>
      <c r="B5" s="294">
        <f>SUM(B6:B9)</f>
        <v>21821.736261999999</v>
      </c>
      <c r="C5" s="294">
        <f>SUM(C6:C9)</f>
        <v>18864.111239000002</v>
      </c>
      <c r="D5" s="294">
        <f>SUM(D6:D9)</f>
        <v>21497</v>
      </c>
      <c r="E5" s="294">
        <f>SUM(E6:E9)</f>
        <v>15385</v>
      </c>
      <c r="F5" s="294">
        <f t="shared" ref="F5:K5" si="0">SUM(F6:F9)</f>
        <v>16862</v>
      </c>
      <c r="G5" s="294">
        <f t="shared" si="0"/>
        <v>15745.174999999999</v>
      </c>
      <c r="H5" s="294">
        <f t="shared" si="0"/>
        <v>20938.501</v>
      </c>
      <c r="I5" s="294">
        <f t="shared" si="0"/>
        <v>15479.323</v>
      </c>
      <c r="J5" s="294">
        <f t="shared" si="0"/>
        <v>33998.728999999999</v>
      </c>
      <c r="K5" s="294">
        <f t="shared" si="0"/>
        <v>24121.606917000001</v>
      </c>
      <c r="L5" s="391">
        <f>SUM(L6:L9)</f>
        <v>26103.798999999999</v>
      </c>
    </row>
    <row r="6" spans="1:12" ht="14.25" customHeight="1">
      <c r="A6" s="12" t="s">
        <v>415</v>
      </c>
      <c r="B6" s="295">
        <f>'3.03'!B5</f>
        <v>7382.3</v>
      </c>
      <c r="C6" s="295">
        <f>'3.03'!C5</f>
        <v>6019</v>
      </c>
      <c r="D6" s="295">
        <f>'3.03'!D5</f>
        <v>6759</v>
      </c>
      <c r="E6" s="295">
        <f>'3.03'!E5</f>
        <v>5839</v>
      </c>
      <c r="F6" s="295">
        <f>'3.03'!F5</f>
        <v>6280</v>
      </c>
      <c r="G6" s="295">
        <f>'3.03'!G5</f>
        <v>6585.1749999999993</v>
      </c>
      <c r="H6" s="295">
        <f>'3.03'!H5</f>
        <v>6285.5010000000002</v>
      </c>
      <c r="I6" s="295">
        <f>'3.03'!I5</f>
        <v>6700.3230000000003</v>
      </c>
      <c r="J6" s="295">
        <f>'3.03'!J5</f>
        <v>7780.7290000000003</v>
      </c>
      <c r="K6" s="295">
        <f>'3.03'!K5</f>
        <v>9223.606917000001</v>
      </c>
      <c r="L6" s="392">
        <f>'3.03'!L5</f>
        <v>7267</v>
      </c>
    </row>
    <row r="7" spans="1:12" ht="14.25" customHeight="1">
      <c r="A7" s="12" t="s">
        <v>25</v>
      </c>
      <c r="B7" s="295">
        <f>'4.12'!B12</f>
        <v>10930</v>
      </c>
      <c r="C7" s="295">
        <f>'4.12'!C12</f>
        <v>10485</v>
      </c>
      <c r="D7" s="295">
        <f>'4.12'!D12</f>
        <v>12539</v>
      </c>
      <c r="E7" s="295">
        <f>'4.12'!E12</f>
        <v>7611</v>
      </c>
      <c r="F7" s="295">
        <f>'4.12'!F12</f>
        <v>8436</v>
      </c>
      <c r="G7" s="295">
        <f>'4.12'!G12</f>
        <v>6995</v>
      </c>
      <c r="H7" s="295">
        <f>'4.12'!H12</f>
        <v>11800</v>
      </c>
      <c r="I7" s="295">
        <f>'4.12'!I12</f>
        <v>6225</v>
      </c>
      <c r="J7" s="295">
        <f>'4.12'!J12</f>
        <v>23576</v>
      </c>
      <c r="K7" s="295">
        <f>'4.12'!K12</f>
        <v>12177</v>
      </c>
      <c r="L7" s="392">
        <f>'4.12'!L12</f>
        <v>15717.476999999999</v>
      </c>
    </row>
    <row r="8" spans="1:12" ht="14.25" customHeight="1">
      <c r="A8" s="12" t="s">
        <v>18</v>
      </c>
      <c r="B8" s="295">
        <f>'5.03'!B5</f>
        <v>2539</v>
      </c>
      <c r="C8" s="295">
        <f>'5.03'!C5</f>
        <v>1569</v>
      </c>
      <c r="D8" s="295">
        <f>'5.03'!D5</f>
        <v>1099</v>
      </c>
      <c r="E8" s="295">
        <f>'5.03'!E5</f>
        <v>735</v>
      </c>
      <c r="F8" s="295">
        <f>'5.03'!F5</f>
        <v>833</v>
      </c>
      <c r="G8" s="295">
        <f>'5.03'!G5</f>
        <v>774</v>
      </c>
      <c r="H8" s="295">
        <f>'5.03'!H5</f>
        <v>1108</v>
      </c>
      <c r="I8" s="295">
        <f>'5.03'!I5</f>
        <v>624</v>
      </c>
      <c r="J8" s="295">
        <f>'5.03'!J5</f>
        <v>687</v>
      </c>
      <c r="K8" s="295">
        <f>'5.03'!K5</f>
        <v>582</v>
      </c>
      <c r="L8" s="392">
        <f>'5.03'!L5</f>
        <v>695.23199999999997</v>
      </c>
    </row>
    <row r="9" spans="1:12" ht="14.25" customHeight="1">
      <c r="A9" s="12" t="s">
        <v>28</v>
      </c>
      <c r="B9" s="296">
        <f>'6.02'!B5+'6.02'!B6</f>
        <v>970.43626199999994</v>
      </c>
      <c r="C9" s="296">
        <f>'6.02'!C5+'6.02'!C6</f>
        <v>791.11123900000007</v>
      </c>
      <c r="D9" s="296">
        <f>'6.02'!D5+'6.02'!D6</f>
        <v>1100</v>
      </c>
      <c r="E9" s="296">
        <f>'6.02'!E5+'6.02'!E6</f>
        <v>1200</v>
      </c>
      <c r="F9" s="296">
        <f>'6.02'!F5+'6.02'!F6</f>
        <v>1313</v>
      </c>
      <c r="G9" s="296">
        <f>'6.02'!G5+'6.02'!G6</f>
        <v>1391</v>
      </c>
      <c r="H9" s="296">
        <f>'6.02'!H5+'6.02'!H6</f>
        <v>1745</v>
      </c>
      <c r="I9" s="296">
        <f>'6.02'!I5+'6.02'!I6</f>
        <v>1930</v>
      </c>
      <c r="J9" s="296">
        <f>'6.02'!J5+'6.02'!J6</f>
        <v>1955</v>
      </c>
      <c r="K9" s="296">
        <f>'6.02'!K5+'6.02'!K6</f>
        <v>2139</v>
      </c>
      <c r="L9" s="393">
        <v>2424.09</v>
      </c>
    </row>
    <row r="10" spans="1:12" ht="14.25" customHeight="1">
      <c r="A10" s="16" t="s">
        <v>34</v>
      </c>
      <c r="B10" s="294">
        <f>SUM(B11:B14)</f>
        <v>10035.282394</v>
      </c>
      <c r="C10" s="294">
        <f>SUM(C11:C14)</f>
        <v>8263.4620749999995</v>
      </c>
      <c r="D10" s="294">
        <f>SUM(D11:D14)</f>
        <v>7432</v>
      </c>
      <c r="E10" s="294">
        <f>SUM(E11:E14)</f>
        <v>6655</v>
      </c>
      <c r="F10" s="294">
        <f t="shared" ref="F10:L10" si="1">SUM(F11:F14)</f>
        <v>10978</v>
      </c>
      <c r="G10" s="294">
        <f t="shared" si="1"/>
        <v>10381.271000000001</v>
      </c>
      <c r="H10" s="294">
        <f t="shared" si="1"/>
        <v>9781.5329999999994</v>
      </c>
      <c r="I10" s="294">
        <f t="shared" si="1"/>
        <v>12126.653</v>
      </c>
      <c r="J10" s="294">
        <f t="shared" si="1"/>
        <v>12350.411</v>
      </c>
      <c r="K10" s="294">
        <f t="shared" si="1"/>
        <v>8934.0516729999999</v>
      </c>
      <c r="L10" s="391">
        <f t="shared" si="1"/>
        <v>9460.8089999999993</v>
      </c>
    </row>
    <row r="11" spans="1:12" ht="14.25" customHeight="1">
      <c r="A11" s="12" t="s">
        <v>415</v>
      </c>
      <c r="B11" s="295">
        <f>'3.03'!B14</f>
        <v>3435</v>
      </c>
      <c r="C11" s="295">
        <f>'3.03'!C14</f>
        <v>2555</v>
      </c>
      <c r="D11" s="295">
        <f>'3.03'!D14</f>
        <v>2475</v>
      </c>
      <c r="E11" s="295">
        <f>'3.03'!E14</f>
        <v>1964</v>
      </c>
      <c r="F11" s="295">
        <f>'3.03'!F14</f>
        <v>6934</v>
      </c>
      <c r="G11" s="295">
        <f>'3.03'!G14</f>
        <v>5738.2710000000006</v>
      </c>
      <c r="H11" s="295">
        <f>'3.03'!H14</f>
        <v>5644.5330000000004</v>
      </c>
      <c r="I11" s="295">
        <f>'3.03'!I14</f>
        <v>5972.6530000000002</v>
      </c>
      <c r="J11" s="295">
        <f>'3.03'!J14</f>
        <v>5632.4110000000001</v>
      </c>
      <c r="K11" s="295">
        <f>'3.03'!K14</f>
        <v>5771.0516729999999</v>
      </c>
      <c r="L11" s="392">
        <f>'3.03'!L14</f>
        <v>5761</v>
      </c>
    </row>
    <row r="12" spans="1:12" ht="14.25" customHeight="1">
      <c r="A12" s="12" t="s">
        <v>25</v>
      </c>
      <c r="B12" s="295">
        <f>'4.12'!B16</f>
        <v>3780</v>
      </c>
      <c r="C12" s="295">
        <f>'4.12'!C16</f>
        <v>3933</v>
      </c>
      <c r="D12" s="295">
        <f>'4.12'!D16</f>
        <v>4021</v>
      </c>
      <c r="E12" s="295">
        <f>'4.12'!E16</f>
        <v>4423</v>
      </c>
      <c r="F12" s="295">
        <f>'4.12'!F16</f>
        <v>3689</v>
      </c>
      <c r="G12" s="295">
        <f>'4.12'!G16</f>
        <v>4047</v>
      </c>
      <c r="H12" s="295">
        <f>'4.12'!H16</f>
        <v>3747</v>
      </c>
      <c r="I12" s="295">
        <f>'4.12'!I16</f>
        <v>4485</v>
      </c>
      <c r="J12" s="295">
        <f>'4.12'!J16</f>
        <v>5032</v>
      </c>
      <c r="K12" s="295">
        <f>'4.12'!K16</f>
        <v>1469</v>
      </c>
      <c r="L12" s="392">
        <f>'4.12'!L16</f>
        <v>1398.8</v>
      </c>
    </row>
    <row r="13" spans="1:12" ht="14.25" customHeight="1">
      <c r="A13" s="12" t="s">
        <v>18</v>
      </c>
      <c r="B13" s="295">
        <f>'5.03'!B13</f>
        <v>2388</v>
      </c>
      <c r="C13" s="295">
        <f>'5.03'!C13</f>
        <v>1403</v>
      </c>
      <c r="D13" s="295">
        <f>'5.03'!D13</f>
        <v>936</v>
      </c>
      <c r="E13" s="295">
        <f>'5.03'!E13</f>
        <v>268</v>
      </c>
      <c r="F13" s="295">
        <f>'5.03'!F13</f>
        <v>-446</v>
      </c>
      <c r="G13" s="295">
        <f>'5.03'!G13</f>
        <v>-468</v>
      </c>
      <c r="H13" s="295">
        <f>'5.03'!H13</f>
        <v>-619</v>
      </c>
      <c r="I13" s="295">
        <f>'5.03'!I13</f>
        <v>483</v>
      </c>
      <c r="J13" s="295">
        <f>'5.03'!J13</f>
        <v>468</v>
      </c>
      <c r="K13" s="295">
        <f>'5.03'!K13</f>
        <v>421</v>
      </c>
      <c r="L13" s="392">
        <f>'5.03'!L13</f>
        <v>471.91</v>
      </c>
    </row>
    <row r="14" spans="1:12" ht="14.25" customHeight="1">
      <c r="A14" s="12" t="s">
        <v>28</v>
      </c>
      <c r="B14" s="296">
        <f>'6.02'!B10</f>
        <v>432.28239399999995</v>
      </c>
      <c r="C14" s="296">
        <f>'6.02'!C10</f>
        <v>372.46207499999997</v>
      </c>
      <c r="D14" s="296">
        <f>'6.02'!D10</f>
        <v>0</v>
      </c>
      <c r="E14" s="296">
        <f>'6.02'!E10</f>
        <v>0</v>
      </c>
      <c r="F14" s="296">
        <f>'6.02'!F10</f>
        <v>801</v>
      </c>
      <c r="G14" s="296">
        <f>'6.02'!G10</f>
        <v>1064</v>
      </c>
      <c r="H14" s="296">
        <f>'6.02'!H10</f>
        <v>1009</v>
      </c>
      <c r="I14" s="296">
        <f>'6.02'!I10</f>
        <v>1186</v>
      </c>
      <c r="J14" s="296">
        <f>'6.02'!J10</f>
        <v>1218</v>
      </c>
      <c r="K14" s="296">
        <f>'6.02'!K10</f>
        <v>1273</v>
      </c>
      <c r="L14" s="393">
        <v>1829.0989999999999</v>
      </c>
    </row>
    <row r="15" spans="1:12" ht="14.25" customHeight="1">
      <c r="A15" s="16" t="s">
        <v>35</v>
      </c>
      <c r="B15" s="294">
        <f t="shared" ref="B15:K15" si="2">SUM(B16:B19)</f>
        <v>959.15386799999999</v>
      </c>
      <c r="C15" s="294">
        <f t="shared" si="2"/>
        <v>845.64916400000016</v>
      </c>
      <c r="D15" s="294">
        <f t="shared" si="2"/>
        <v>1560</v>
      </c>
      <c r="E15" s="294">
        <f t="shared" si="2"/>
        <v>1527</v>
      </c>
      <c r="F15" s="294">
        <f t="shared" si="2"/>
        <v>1065</v>
      </c>
      <c r="G15" s="294">
        <f t="shared" si="2"/>
        <v>439</v>
      </c>
      <c r="H15" s="294">
        <f t="shared" si="2"/>
        <v>1121</v>
      </c>
      <c r="I15" s="294">
        <f t="shared" si="2"/>
        <v>1441</v>
      </c>
      <c r="J15" s="294">
        <f t="shared" si="2"/>
        <v>1252.2</v>
      </c>
      <c r="K15" s="294">
        <f t="shared" si="2"/>
        <v>1782.5552440000001</v>
      </c>
      <c r="L15" s="391">
        <f>SUM(L16:L19)</f>
        <v>1721.2940000000001</v>
      </c>
    </row>
    <row r="16" spans="1:12" ht="14.25" customHeight="1">
      <c r="A16" s="12" t="s">
        <v>416</v>
      </c>
      <c r="B16" s="295">
        <f>'3.03'!B22</f>
        <v>271</v>
      </c>
      <c r="C16" s="295">
        <f>'3.03'!C22</f>
        <v>260</v>
      </c>
      <c r="D16" s="295">
        <f>'3.03'!D22</f>
        <v>304</v>
      </c>
      <c r="E16" s="295">
        <f>'3.03'!E22</f>
        <v>206</v>
      </c>
      <c r="F16" s="295">
        <f>'3.03'!F22</f>
        <v>285</v>
      </c>
      <c r="G16" s="295">
        <f>'3.03'!G22</f>
        <v>-53</v>
      </c>
      <c r="H16" s="295">
        <f>'3.03'!H22</f>
        <v>335</v>
      </c>
      <c r="I16" s="295">
        <f>'3.03'!I22</f>
        <v>574</v>
      </c>
      <c r="J16" s="295">
        <f>'3.03'!J22</f>
        <v>293</v>
      </c>
      <c r="K16" s="295">
        <f>'3.03'!K22</f>
        <v>755.55524400000013</v>
      </c>
      <c r="L16" s="392">
        <f>'3.03'!L22</f>
        <v>903</v>
      </c>
    </row>
    <row r="17" spans="1:12" ht="14.25" customHeight="1">
      <c r="A17" s="12" t="s">
        <v>292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394"/>
    </row>
    <row r="18" spans="1:12" ht="14.25" customHeight="1">
      <c r="A18" s="12" t="s">
        <v>18</v>
      </c>
      <c r="B18" s="295">
        <f>'5.03'!B21</f>
        <v>150</v>
      </c>
      <c r="C18" s="295">
        <f>'5.03'!C21</f>
        <v>167</v>
      </c>
      <c r="D18" s="295">
        <f>'5.03'!D21</f>
        <v>156</v>
      </c>
      <c r="E18" s="295">
        <f>'5.03'!E21</f>
        <v>121</v>
      </c>
      <c r="F18" s="295">
        <f>'5.03'!F21</f>
        <v>268</v>
      </c>
      <c r="G18" s="295">
        <f>'5.03'!G21</f>
        <v>165</v>
      </c>
      <c r="H18" s="295">
        <f>'5.03'!H21</f>
        <v>85</v>
      </c>
      <c r="I18" s="295">
        <f>'5.03'!I21</f>
        <v>123</v>
      </c>
      <c r="J18" s="295">
        <f>'5.03'!J21</f>
        <v>222.2</v>
      </c>
      <c r="K18" s="295">
        <f>'5.03'!K21</f>
        <v>161</v>
      </c>
      <c r="L18" s="392">
        <f>'5.03'!L21</f>
        <v>223.30400000000003</v>
      </c>
    </row>
    <row r="19" spans="1:12" ht="14.25" customHeight="1">
      <c r="A19" s="113" t="s">
        <v>28</v>
      </c>
      <c r="B19" s="299">
        <f>'6.02'!B11</f>
        <v>538.15386799999999</v>
      </c>
      <c r="C19" s="299">
        <f>'6.02'!C11</f>
        <v>418.6491640000001</v>
      </c>
      <c r="D19" s="299">
        <f>'6.02'!D11</f>
        <v>1100</v>
      </c>
      <c r="E19" s="299">
        <f>'6.02'!E11</f>
        <v>1200</v>
      </c>
      <c r="F19" s="299">
        <f>'6.02'!F11</f>
        <v>512</v>
      </c>
      <c r="G19" s="299">
        <f>'6.02'!G11</f>
        <v>327</v>
      </c>
      <c r="H19" s="299">
        <f>'6.02'!H11</f>
        <v>701</v>
      </c>
      <c r="I19" s="299">
        <f>'6.02'!I11</f>
        <v>744</v>
      </c>
      <c r="J19" s="299">
        <f>'6.02'!J11</f>
        <v>737</v>
      </c>
      <c r="K19" s="299">
        <f>'6.02'!K11</f>
        <v>866</v>
      </c>
      <c r="L19" s="395">
        <v>594.99</v>
      </c>
    </row>
    <row r="20" spans="1:12">
      <c r="A20" s="12"/>
      <c r="B20" s="52"/>
      <c r="C20" s="52"/>
      <c r="D20" s="52"/>
      <c r="E20" s="52"/>
      <c r="F20" s="52"/>
      <c r="G20" s="52"/>
      <c r="H20" s="19"/>
      <c r="I20" s="19"/>
    </row>
    <row r="21" spans="1:12">
      <c r="A21" s="170" t="s">
        <v>37</v>
      </c>
      <c r="B21" s="34" t="s">
        <v>411</v>
      </c>
    </row>
    <row r="22" spans="1:12">
      <c r="A22" s="34" t="s">
        <v>38</v>
      </c>
      <c r="B22" s="34" t="s">
        <v>304</v>
      </c>
    </row>
    <row r="23" spans="1:12">
      <c r="A23" s="60" t="s">
        <v>409</v>
      </c>
      <c r="B23" s="34" t="s">
        <v>410</v>
      </c>
    </row>
  </sheetData>
  <mergeCells count="1">
    <mergeCell ref="B1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C19F3-11D0-4786-901B-0994AAA77E8C}">
  <dimension ref="A1:L11"/>
  <sheetViews>
    <sheetView showGridLines="0" workbookViewId="0">
      <selection activeCell="C18" sqref="C18"/>
    </sheetView>
  </sheetViews>
  <sheetFormatPr defaultRowHeight="14.5"/>
  <cols>
    <col min="1" max="1" width="24.54296875" customWidth="1"/>
  </cols>
  <sheetData>
    <row r="1" spans="1:12">
      <c r="A1" s="20" t="s">
        <v>261</v>
      </c>
      <c r="C1" s="484" t="s">
        <v>268</v>
      </c>
      <c r="D1" s="485"/>
      <c r="E1" s="485"/>
      <c r="F1" s="485"/>
      <c r="G1" s="485"/>
      <c r="H1" s="485"/>
      <c r="I1" s="485"/>
      <c r="L1" s="27" t="str">
        <f>HYPERLINK("#Contents!A4","BACK TO CONTENTS")</f>
        <v>BACK TO CONTENTS</v>
      </c>
    </row>
    <row r="3" spans="1:12">
      <c r="A3" s="20" t="s">
        <v>164</v>
      </c>
    </row>
    <row r="4" spans="1:12" ht="14.25" customHeight="1" thickBot="1">
      <c r="A4" s="13" t="s">
        <v>267</v>
      </c>
      <c r="B4" s="5">
        <v>2014</v>
      </c>
      <c r="C4" s="5">
        <v>2015</v>
      </c>
      <c r="D4" s="5">
        <v>2016</v>
      </c>
      <c r="E4" s="5">
        <v>2017</v>
      </c>
      <c r="F4" s="5">
        <v>2018</v>
      </c>
      <c r="G4" s="5">
        <v>2019</v>
      </c>
      <c r="H4" s="5">
        <v>2020</v>
      </c>
      <c r="I4" s="14">
        <v>2021</v>
      </c>
      <c r="J4" s="14">
        <v>2022</v>
      </c>
      <c r="K4" s="18">
        <v>2023</v>
      </c>
      <c r="L4" s="368">
        <v>2024</v>
      </c>
    </row>
    <row r="5" spans="1:12" ht="14.25" customHeight="1" thickTop="1">
      <c r="A5" s="16" t="s">
        <v>278</v>
      </c>
      <c r="B5" s="59">
        <f t="shared" ref="B5:L5" si="0">SUM(B6:B9)</f>
        <v>0</v>
      </c>
      <c r="C5" s="59">
        <f t="shared" si="0"/>
        <v>0</v>
      </c>
      <c r="D5" s="59">
        <f t="shared" si="0"/>
        <v>0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88</v>
      </c>
      <c r="L5" s="369">
        <f t="shared" si="0"/>
        <v>89</v>
      </c>
    </row>
    <row r="6" spans="1:12" ht="14.25" customHeight="1">
      <c r="A6" s="123" t="s">
        <v>314</v>
      </c>
      <c r="B6" s="122"/>
      <c r="C6" s="122"/>
      <c r="D6" s="122"/>
      <c r="E6" s="122"/>
      <c r="F6" s="122"/>
      <c r="G6" s="122"/>
      <c r="H6" s="122"/>
      <c r="I6" s="122"/>
      <c r="J6" s="122"/>
      <c r="K6" s="124">
        <f>'3.04'!K5</f>
        <v>39</v>
      </c>
      <c r="L6" s="124">
        <f>'3.04'!L5</f>
        <v>36</v>
      </c>
    </row>
    <row r="7" spans="1:12" ht="14.25" customHeight="1">
      <c r="A7" s="123" t="s">
        <v>17</v>
      </c>
      <c r="B7" s="122"/>
      <c r="C7" s="122"/>
      <c r="D7" s="122"/>
      <c r="E7" s="122"/>
      <c r="F7" s="122"/>
      <c r="G7" s="122"/>
      <c r="H7" s="122"/>
      <c r="I7" s="122"/>
      <c r="J7" s="122"/>
      <c r="K7" s="124">
        <f>'4.13'!K5</f>
        <v>1</v>
      </c>
      <c r="L7" s="124">
        <f>'4.13'!L5</f>
        <v>3</v>
      </c>
    </row>
    <row r="8" spans="1:12" ht="14.25" customHeight="1">
      <c r="A8" s="123" t="s">
        <v>18</v>
      </c>
      <c r="B8" s="122"/>
      <c r="C8" s="122"/>
      <c r="D8" s="122"/>
      <c r="E8" s="122"/>
      <c r="F8" s="122"/>
      <c r="G8" s="122"/>
      <c r="H8" s="122"/>
      <c r="I8" s="122"/>
      <c r="J8" s="122"/>
      <c r="K8" s="124">
        <f>'5.04'!K5</f>
        <v>15</v>
      </c>
      <c r="L8" s="124">
        <f>'5.04'!L5</f>
        <v>9</v>
      </c>
    </row>
    <row r="9" spans="1:12" ht="14.25" customHeight="1">
      <c r="A9" s="125" t="s">
        <v>19</v>
      </c>
      <c r="B9" s="126"/>
      <c r="C9" s="126"/>
      <c r="D9" s="126"/>
      <c r="E9" s="126"/>
      <c r="F9" s="126"/>
      <c r="G9" s="126"/>
      <c r="H9" s="126"/>
      <c r="I9" s="126"/>
      <c r="J9" s="126"/>
      <c r="K9" s="127">
        <f>'6.04'!K5</f>
        <v>33</v>
      </c>
      <c r="L9" s="127">
        <f>'6.04'!L5</f>
        <v>41</v>
      </c>
    </row>
    <row r="11" spans="1:12">
      <c r="A11" s="180" t="s">
        <v>37</v>
      </c>
      <c r="B11" s="181" t="s">
        <v>424</v>
      </c>
    </row>
  </sheetData>
  <mergeCells count="1">
    <mergeCell ref="C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AC33B-DFB1-4AF4-AF22-BC2A967BCBF9}">
  <sheetPr>
    <pageSetUpPr fitToPage="1"/>
  </sheetPr>
  <dimension ref="A1:J46"/>
  <sheetViews>
    <sheetView showGridLines="0" zoomScaleNormal="100" workbookViewId="0">
      <selection activeCell="H35" sqref="H35"/>
    </sheetView>
  </sheetViews>
  <sheetFormatPr defaultRowHeight="14.5"/>
  <cols>
    <col min="1" max="1" width="51.26953125" customWidth="1"/>
    <col min="3" max="3" width="11.08984375" customWidth="1"/>
    <col min="4" max="4" width="11.7265625" customWidth="1"/>
    <col min="5" max="5" width="13" customWidth="1"/>
    <col min="6" max="6" width="10.7265625" customWidth="1"/>
  </cols>
  <sheetData>
    <row r="1" spans="1:10">
      <c r="A1" s="20" t="s">
        <v>342</v>
      </c>
      <c r="B1" s="487" t="s">
        <v>392</v>
      </c>
      <c r="C1" s="488"/>
      <c r="D1" s="488"/>
      <c r="E1" s="488"/>
      <c r="F1" s="489"/>
      <c r="G1" s="489"/>
      <c r="J1" s="27" t="str">
        <f>HYPERLINK("#Contents!A4","BACK TO CONTENTS")</f>
        <v>BACK TO CONTENTS</v>
      </c>
    </row>
    <row r="3" spans="1:10" ht="15" thickBot="1">
      <c r="A3" s="13" t="s">
        <v>23</v>
      </c>
      <c r="B3" s="23">
        <v>2019</v>
      </c>
      <c r="C3" s="23">
        <v>2020</v>
      </c>
      <c r="D3" s="23">
        <v>2021</v>
      </c>
      <c r="E3" s="23">
        <v>2022</v>
      </c>
      <c r="F3" s="40">
        <v>2023</v>
      </c>
    </row>
    <row r="4" spans="1:10" ht="15" thickTop="1">
      <c r="A4" s="16" t="s">
        <v>343</v>
      </c>
      <c r="B4" s="409"/>
      <c r="C4" s="409"/>
      <c r="D4" s="409"/>
      <c r="E4" s="409"/>
      <c r="F4" s="410"/>
    </row>
    <row r="5" spans="1:10">
      <c r="A5" s="162" t="s">
        <v>344</v>
      </c>
      <c r="B5" s="405">
        <v>65.237769425063476</v>
      </c>
      <c r="C5" s="405">
        <v>71.076952160678417</v>
      </c>
      <c r="D5" s="405">
        <v>68.413675355922138</v>
      </c>
      <c r="E5" s="405">
        <v>59.861735345626009</v>
      </c>
      <c r="F5" s="406">
        <v>60.899533817742245</v>
      </c>
    </row>
    <row r="6" spans="1:10">
      <c r="A6" s="162" t="s">
        <v>345</v>
      </c>
      <c r="B6" s="405">
        <v>2.8803003509307312</v>
      </c>
      <c r="C6" s="405">
        <v>2.5639718992078224</v>
      </c>
      <c r="D6" s="405">
        <v>2.4992373722417791</v>
      </c>
      <c r="E6" s="405">
        <v>2.2305660099801718</v>
      </c>
      <c r="F6" s="406">
        <v>2.1577585067758349</v>
      </c>
    </row>
    <row r="7" spans="1:10">
      <c r="A7" s="162" t="s">
        <v>346</v>
      </c>
      <c r="B7" s="405">
        <v>11.980322020482308</v>
      </c>
      <c r="C7" s="405">
        <v>13.348390759462578</v>
      </c>
      <c r="D7" s="405">
        <v>11.399274928017102</v>
      </c>
      <c r="E7" s="405">
        <v>9.7488288344451597</v>
      </c>
      <c r="F7" s="406">
        <v>7.9354124844624883</v>
      </c>
    </row>
    <row r="8" spans="1:10">
      <c r="A8" s="162" t="s">
        <v>347</v>
      </c>
      <c r="B8" s="405">
        <v>49.234136883718655</v>
      </c>
      <c r="C8" s="405">
        <v>53.576002562602</v>
      </c>
      <c r="D8" s="405">
        <v>52.899855024084083</v>
      </c>
      <c r="E8" s="405">
        <v>46.590446151789635</v>
      </c>
      <c r="F8" s="406">
        <v>49.304063528803269</v>
      </c>
    </row>
    <row r="9" spans="1:10">
      <c r="A9" s="16" t="s">
        <v>348</v>
      </c>
      <c r="B9" s="409"/>
      <c r="C9" s="409"/>
      <c r="D9" s="409"/>
      <c r="E9" s="409"/>
      <c r="F9" s="410"/>
    </row>
    <row r="10" spans="1:10">
      <c r="A10" s="162" t="s">
        <v>349</v>
      </c>
      <c r="B10" s="405"/>
      <c r="C10" s="405"/>
      <c r="D10" s="405"/>
      <c r="E10" s="405"/>
      <c r="F10" s="406"/>
    </row>
    <row r="11" spans="1:10">
      <c r="A11" s="162" t="s">
        <v>350</v>
      </c>
      <c r="B11" s="407">
        <v>2078.4910170997055</v>
      </c>
      <c r="C11" s="407">
        <v>2390.4684843599994</v>
      </c>
      <c r="D11" s="407">
        <v>2867.0744653299998</v>
      </c>
      <c r="E11" s="407">
        <v>3038.6368215000002</v>
      </c>
      <c r="F11" s="408">
        <v>3093.60826623</v>
      </c>
    </row>
    <row r="12" spans="1:10">
      <c r="A12" s="162" t="s">
        <v>351</v>
      </c>
      <c r="B12" s="407">
        <v>0</v>
      </c>
      <c r="C12" s="407">
        <v>0</v>
      </c>
      <c r="D12" s="407">
        <v>0</v>
      </c>
      <c r="E12" s="407">
        <v>0</v>
      </c>
      <c r="F12" s="408">
        <v>0</v>
      </c>
    </row>
    <row r="13" spans="1:10">
      <c r="A13" s="162" t="s">
        <v>352</v>
      </c>
      <c r="B13" s="407">
        <v>346.54324247000005</v>
      </c>
      <c r="C13" s="407">
        <v>163.27966072999999</v>
      </c>
      <c r="D13" s="407">
        <v>294.32381139999995</v>
      </c>
      <c r="E13" s="407">
        <v>304.13097882000005</v>
      </c>
      <c r="F13" s="408">
        <v>679.08592093999994</v>
      </c>
    </row>
    <row r="14" spans="1:10">
      <c r="A14" s="162" t="s">
        <v>353</v>
      </c>
      <c r="B14" s="407">
        <v>2663.7122046902941</v>
      </c>
      <c r="C14" s="407">
        <v>1787.6019791199999</v>
      </c>
      <c r="D14" s="407">
        <v>2018.8033499000001</v>
      </c>
      <c r="E14" s="407">
        <v>2251.6286514200001</v>
      </c>
      <c r="F14" s="408">
        <v>1896.2051485300003</v>
      </c>
    </row>
    <row r="15" spans="1:10">
      <c r="A15" s="162" t="s">
        <v>354</v>
      </c>
      <c r="B15" s="407">
        <v>6.2772940300000002</v>
      </c>
      <c r="C15" s="407">
        <v>4.4357987200000011</v>
      </c>
      <c r="D15" s="407">
        <v>6.9843550100000007</v>
      </c>
      <c r="E15" s="407">
        <v>1.95186163</v>
      </c>
      <c r="F15" s="408">
        <v>0.83828501999999994</v>
      </c>
    </row>
    <row r="16" spans="1:10">
      <c r="A16" s="162" t="s">
        <v>355</v>
      </c>
      <c r="B16" s="407">
        <v>74.323229023300001</v>
      </c>
      <c r="C16" s="407">
        <v>41.854730239999995</v>
      </c>
      <c r="D16" s="407">
        <v>3.7563943299999996</v>
      </c>
      <c r="E16" s="407">
        <v>0.86508763999999994</v>
      </c>
      <c r="F16" s="408">
        <v>1.6285679499999999</v>
      </c>
    </row>
    <row r="17" spans="1:6">
      <c r="A17" s="162" t="s">
        <v>356</v>
      </c>
      <c r="B17" s="407">
        <v>1619.8350963099997</v>
      </c>
      <c r="C17" s="407">
        <v>1890.6241425399996</v>
      </c>
      <c r="D17" s="407">
        <v>2366.1367419399999</v>
      </c>
      <c r="E17" s="407">
        <v>2460.5079536500002</v>
      </c>
      <c r="F17" s="408">
        <v>2468.4772081500005</v>
      </c>
    </row>
    <row r="18" spans="1:6">
      <c r="A18" s="162" t="s">
        <v>357</v>
      </c>
      <c r="B18" s="407">
        <v>0</v>
      </c>
      <c r="C18" s="407">
        <v>0</v>
      </c>
      <c r="D18" s="407">
        <v>0</v>
      </c>
      <c r="E18" s="407">
        <v>0</v>
      </c>
      <c r="F18" s="408">
        <v>0</v>
      </c>
    </row>
    <row r="19" spans="1:6">
      <c r="A19" s="16" t="s">
        <v>418</v>
      </c>
      <c r="B19" s="409"/>
      <c r="C19" s="409"/>
      <c r="D19" s="409"/>
      <c r="E19" s="409"/>
      <c r="F19" s="410"/>
    </row>
    <row r="20" spans="1:6">
      <c r="A20" s="411" t="s">
        <v>358</v>
      </c>
      <c r="B20" s="415"/>
      <c r="C20" s="415"/>
      <c r="D20" s="405">
        <v>89.5</v>
      </c>
      <c r="E20" s="405">
        <v>79.2</v>
      </c>
      <c r="F20" s="406">
        <v>82.6</v>
      </c>
    </row>
    <row r="21" spans="1:6">
      <c r="A21" s="411" t="s">
        <v>359</v>
      </c>
      <c r="B21" s="415"/>
      <c r="C21" s="415"/>
      <c r="D21" s="405">
        <v>1.33</v>
      </c>
      <c r="E21" s="405">
        <v>1.3</v>
      </c>
      <c r="F21" s="406">
        <v>1.5</v>
      </c>
    </row>
    <row r="22" spans="1:6">
      <c r="A22" s="411" t="s">
        <v>360</v>
      </c>
      <c r="B22" s="415"/>
      <c r="C22" s="415"/>
      <c r="D22" s="405">
        <v>2.8</v>
      </c>
      <c r="E22" s="405">
        <v>3.1</v>
      </c>
      <c r="F22" s="406">
        <v>2.4</v>
      </c>
    </row>
    <row r="23" spans="1:6">
      <c r="A23" s="16" t="s">
        <v>361</v>
      </c>
      <c r="B23" s="409"/>
      <c r="C23" s="409"/>
      <c r="D23" s="409"/>
      <c r="E23" s="409"/>
      <c r="F23" s="410"/>
    </row>
    <row r="24" spans="1:6">
      <c r="A24" s="162" t="s">
        <v>362</v>
      </c>
      <c r="B24" s="415"/>
      <c r="C24" s="415"/>
      <c r="D24" s="405">
        <v>2.3597226904750714</v>
      </c>
      <c r="E24" s="405">
        <v>3.7015982649564134</v>
      </c>
      <c r="F24" s="406">
        <v>4.2798057903254811</v>
      </c>
    </row>
    <row r="25" spans="1:6">
      <c r="A25" s="162" t="s">
        <v>363</v>
      </c>
      <c r="B25" s="415"/>
      <c r="C25" s="415"/>
      <c r="D25" s="405">
        <v>12.75564053537285</v>
      </c>
      <c r="E25" s="405">
        <v>11.764982373678027</v>
      </c>
      <c r="F25" s="406">
        <v>22.229869236063319</v>
      </c>
    </row>
    <row r="26" spans="1:6">
      <c r="A26" s="162" t="s">
        <v>364</v>
      </c>
      <c r="B26" s="415"/>
      <c r="C26" s="415"/>
      <c r="D26" s="405">
        <v>3.6530484133816334</v>
      </c>
      <c r="E26" s="405">
        <v>4.6544469520777101</v>
      </c>
      <c r="F26" s="406">
        <v>5.7179091310101455</v>
      </c>
    </row>
    <row r="27" spans="1:6">
      <c r="A27" s="162" t="s">
        <v>365</v>
      </c>
      <c r="B27" s="405">
        <v>96.254256526674226</v>
      </c>
      <c r="C27" s="405">
        <v>91.140642303433012</v>
      </c>
      <c r="D27" s="405">
        <v>96.071829405162731</v>
      </c>
      <c r="E27" s="405">
        <v>95.469255663430417</v>
      </c>
      <c r="F27" s="406"/>
    </row>
    <row r="28" spans="1:6">
      <c r="A28" s="162" t="s">
        <v>366</v>
      </c>
      <c r="B28" s="405">
        <v>2.6253301922836632</v>
      </c>
      <c r="C28" s="405">
        <v>2.9554981048281146</v>
      </c>
      <c r="D28" s="405">
        <v>1.2502509548509468</v>
      </c>
      <c r="E28" s="405">
        <v>2.4881223189566355</v>
      </c>
      <c r="F28" s="406">
        <v>4.1719115267038305</v>
      </c>
    </row>
    <row r="29" spans="1:6">
      <c r="A29" s="162" t="s">
        <v>367</v>
      </c>
      <c r="B29" s="415"/>
      <c r="C29" s="415"/>
      <c r="D29" s="405">
        <v>52.982961086806348</v>
      </c>
      <c r="E29" s="405">
        <v>67.217513648416784</v>
      </c>
      <c r="F29" s="406">
        <v>97.47899159663865</v>
      </c>
    </row>
    <row r="30" spans="1:6">
      <c r="A30" s="162" t="s">
        <v>368</v>
      </c>
      <c r="B30" s="415"/>
      <c r="C30" s="415"/>
      <c r="D30" s="405">
        <v>29.080225446696247</v>
      </c>
      <c r="E30" s="405">
        <v>28.96524170994806</v>
      </c>
      <c r="F30" s="406">
        <v>30.650154798761609</v>
      </c>
    </row>
    <row r="31" spans="1:6">
      <c r="A31" s="162" t="s">
        <v>369</v>
      </c>
      <c r="B31" s="415"/>
      <c r="C31" s="415"/>
      <c r="D31" s="405">
        <v>42.599562420232857</v>
      </c>
      <c r="E31" s="405">
        <v>55.791703014210846</v>
      </c>
      <c r="F31" s="406">
        <v>76.663452266152362</v>
      </c>
    </row>
    <row r="32" spans="1:6">
      <c r="A32" s="162" t="s">
        <v>370</v>
      </c>
      <c r="B32" s="405">
        <v>3.33</v>
      </c>
      <c r="C32" s="405">
        <v>3.24</v>
      </c>
      <c r="D32" s="405">
        <v>3.18</v>
      </c>
      <c r="E32" s="405">
        <v>4.04</v>
      </c>
      <c r="F32" s="406">
        <v>2.74</v>
      </c>
    </row>
    <row r="33" spans="1:6">
      <c r="A33" s="162" t="s">
        <v>371</v>
      </c>
      <c r="B33" s="405">
        <v>3.05</v>
      </c>
      <c r="C33" s="405">
        <v>3.91</v>
      </c>
      <c r="D33" s="405">
        <v>2.79</v>
      </c>
      <c r="E33" s="405">
        <v>2.35</v>
      </c>
      <c r="F33" s="406">
        <v>1.63</v>
      </c>
    </row>
    <row r="34" spans="1:6">
      <c r="A34" s="162" t="s">
        <v>372</v>
      </c>
      <c r="B34" s="405">
        <v>1.47</v>
      </c>
      <c r="C34" s="405">
        <v>1.44</v>
      </c>
      <c r="D34" s="405">
        <v>1.69</v>
      </c>
      <c r="E34" s="405">
        <v>1.3</v>
      </c>
      <c r="F34" s="406">
        <v>2.15</v>
      </c>
    </row>
    <row r="35" spans="1:6">
      <c r="A35" s="162" t="s">
        <v>373</v>
      </c>
      <c r="B35" s="405">
        <v>1.71</v>
      </c>
      <c r="C35" s="405">
        <v>1.63</v>
      </c>
      <c r="D35" s="405">
        <v>1.62</v>
      </c>
      <c r="E35" s="405">
        <v>1.48</v>
      </c>
      <c r="F35" s="406">
        <v>1.63</v>
      </c>
    </row>
    <row r="36" spans="1:6">
      <c r="A36" s="16" t="s">
        <v>374</v>
      </c>
      <c r="B36" s="409"/>
      <c r="C36" s="409"/>
      <c r="D36" s="409"/>
      <c r="E36" s="409"/>
      <c r="F36" s="410"/>
    </row>
    <row r="37" spans="1:6">
      <c r="A37" s="34" t="s">
        <v>375</v>
      </c>
      <c r="B37" s="405">
        <v>9.0919354656610931</v>
      </c>
      <c r="C37" s="405">
        <v>1.8949500669766834</v>
      </c>
      <c r="D37" s="405">
        <v>16.861707447920928</v>
      </c>
      <c r="E37" s="405">
        <v>4.5367990504572662</v>
      </c>
      <c r="F37" s="406">
        <v>6.4</v>
      </c>
    </row>
    <row r="38" spans="1:6">
      <c r="A38" s="16" t="s">
        <v>425</v>
      </c>
      <c r="B38" s="409"/>
      <c r="C38" s="409"/>
      <c r="D38" s="409"/>
      <c r="E38" s="409"/>
      <c r="F38" s="410"/>
    </row>
    <row r="39" spans="1:6">
      <c r="A39" s="162" t="s">
        <v>426</v>
      </c>
      <c r="B39" s="451"/>
      <c r="C39" s="451"/>
      <c r="D39" s="451"/>
      <c r="E39" s="448">
        <v>25.7</v>
      </c>
      <c r="F39" s="447">
        <v>26.2</v>
      </c>
    </row>
    <row r="40" spans="1:6">
      <c r="A40" s="162" t="s">
        <v>427</v>
      </c>
      <c r="B40" s="451"/>
      <c r="C40" s="451"/>
      <c r="D40" s="451"/>
      <c r="E40" s="448">
        <v>0.5</v>
      </c>
      <c r="F40" s="447">
        <v>0.7</v>
      </c>
    </row>
    <row r="41" spans="1:6">
      <c r="A41" s="162" t="s">
        <v>428</v>
      </c>
      <c r="B41" s="451"/>
      <c r="C41" s="451"/>
      <c r="D41" s="451"/>
      <c r="E41" s="448">
        <v>0.4</v>
      </c>
      <c r="F41" s="447">
        <v>0.2</v>
      </c>
    </row>
    <row r="42" spans="1:6">
      <c r="A42" s="162" t="s">
        <v>429</v>
      </c>
      <c r="B42" s="451"/>
      <c r="C42" s="451"/>
      <c r="D42" s="451"/>
      <c r="E42" s="448">
        <v>83.3</v>
      </c>
      <c r="F42" s="447">
        <v>86.5</v>
      </c>
    </row>
    <row r="43" spans="1:6">
      <c r="A43" s="162" t="s">
        <v>430</v>
      </c>
      <c r="B43" s="451"/>
      <c r="C43" s="451"/>
      <c r="D43" s="451"/>
      <c r="E43" s="448">
        <v>1.9</v>
      </c>
      <c r="F43" s="447">
        <v>2.2000000000000002</v>
      </c>
    </row>
    <row r="44" spans="1:6">
      <c r="A44" s="162" t="s">
        <v>431</v>
      </c>
      <c r="B44" s="451"/>
      <c r="C44" s="451"/>
      <c r="D44" s="451"/>
      <c r="E44" s="448">
        <v>36</v>
      </c>
      <c r="F44" s="447">
        <v>33</v>
      </c>
    </row>
    <row r="45" spans="1:6">
      <c r="A45" s="162" t="s">
        <v>432</v>
      </c>
      <c r="B45" s="451"/>
      <c r="C45" s="451"/>
      <c r="D45" s="451"/>
      <c r="E45" s="448">
        <v>50</v>
      </c>
      <c r="F45" s="447">
        <v>132.69999999999999</v>
      </c>
    </row>
    <row r="46" spans="1:6">
      <c r="A46" s="165" t="s">
        <v>433</v>
      </c>
      <c r="B46" s="452"/>
      <c r="C46" s="452"/>
      <c r="D46" s="452"/>
      <c r="E46" s="449">
        <v>24.3</v>
      </c>
      <c r="F46" s="450">
        <v>16.8</v>
      </c>
    </row>
  </sheetData>
  <mergeCells count="1">
    <mergeCell ref="B1:G1"/>
  </mergeCells>
  <pageMargins left="0.7" right="0.7" top="0.75" bottom="0.75" header="0.3" footer="0.3"/>
  <pageSetup paperSize="9" scale="6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37E60-0F6C-4BD4-B447-F4F5144514FD}">
  <dimension ref="A1:I29"/>
  <sheetViews>
    <sheetView showGridLines="0" workbookViewId="0">
      <selection activeCell="I15" sqref="I15"/>
    </sheetView>
  </sheetViews>
  <sheetFormatPr defaultRowHeight="14.5"/>
  <cols>
    <col min="1" max="1" width="60.08984375" bestFit="1" customWidth="1"/>
    <col min="4" max="4" width="9.453125" customWidth="1"/>
    <col min="5" max="5" width="11.7265625" customWidth="1"/>
    <col min="6" max="6" width="11.36328125" customWidth="1"/>
    <col min="7" max="7" width="11.453125" customWidth="1"/>
  </cols>
  <sheetData>
    <row r="1" spans="1:9">
      <c r="A1" s="20" t="s">
        <v>394</v>
      </c>
      <c r="B1" s="487" t="s">
        <v>393</v>
      </c>
      <c r="C1" s="488"/>
      <c r="D1" s="488"/>
      <c r="E1" s="488"/>
      <c r="F1" s="488"/>
      <c r="G1" s="488"/>
      <c r="I1" s="27" t="str">
        <f>HYPERLINK("#Contents!A4","BACK TO CONTENTS")</f>
        <v>BACK TO CONTENTS</v>
      </c>
    </row>
    <row r="3" spans="1:9" ht="15" thickBot="1">
      <c r="A3" s="13" t="s">
        <v>376</v>
      </c>
      <c r="B3" s="23">
        <v>2018</v>
      </c>
      <c r="C3" s="23">
        <v>2019</v>
      </c>
      <c r="D3" s="23">
        <v>2020</v>
      </c>
      <c r="E3" s="23">
        <v>2021</v>
      </c>
      <c r="F3" s="23">
        <v>2022</v>
      </c>
      <c r="G3" s="40">
        <v>2023</v>
      </c>
    </row>
    <row r="4" spans="1:9" ht="15" thickTop="1">
      <c r="A4" s="16" t="s">
        <v>420</v>
      </c>
      <c r="B4" s="409"/>
      <c r="C4" s="409"/>
      <c r="D4" s="409"/>
      <c r="E4" s="409"/>
      <c r="F4" s="409"/>
      <c r="G4" s="410"/>
    </row>
    <row r="5" spans="1:9">
      <c r="A5" s="162" t="s">
        <v>377</v>
      </c>
      <c r="B5" s="34">
        <v>11.6</v>
      </c>
      <c r="C5" s="34">
        <v>12</v>
      </c>
      <c r="D5" s="34">
        <v>13.3</v>
      </c>
      <c r="E5" s="34">
        <v>11.4</v>
      </c>
      <c r="F5" s="34">
        <v>9.6999999999999993</v>
      </c>
      <c r="G5" s="432"/>
    </row>
    <row r="6" spans="1:9">
      <c r="A6" s="162" t="s">
        <v>378</v>
      </c>
      <c r="B6" s="34">
        <v>78.900000000000006</v>
      </c>
      <c r="C6" s="34">
        <v>73.400000000000006</v>
      </c>
      <c r="D6" s="34">
        <v>76.8</v>
      </c>
      <c r="E6" s="34">
        <v>75.5</v>
      </c>
      <c r="F6" s="34">
        <v>75.5</v>
      </c>
      <c r="G6" s="432"/>
    </row>
    <row r="7" spans="1:9">
      <c r="A7" s="162" t="s">
        <v>379</v>
      </c>
      <c r="B7" s="34">
        <v>8.9</v>
      </c>
      <c r="C7" s="34">
        <v>8.3000000000000007</v>
      </c>
      <c r="D7" s="34">
        <v>9.4</v>
      </c>
      <c r="E7" s="34">
        <v>9.8000000000000007</v>
      </c>
      <c r="F7" s="34">
        <v>9.1</v>
      </c>
      <c r="G7" s="432"/>
    </row>
    <row r="8" spans="1:9">
      <c r="A8" s="162" t="s">
        <v>380</v>
      </c>
      <c r="B8" s="405">
        <v>16.66888888888889</v>
      </c>
      <c r="C8" s="405">
        <v>3.313333333333333</v>
      </c>
      <c r="D8" s="405">
        <v>4.5422222222222217</v>
      </c>
      <c r="E8" s="405">
        <v>3.2311111111111113</v>
      </c>
      <c r="F8" s="405">
        <v>3.0011111111111113</v>
      </c>
      <c r="G8" s="433"/>
    </row>
    <row r="9" spans="1:9">
      <c r="A9" s="162" t="s">
        <v>381</v>
      </c>
      <c r="B9" s="405">
        <v>44.150868415153553</v>
      </c>
      <c r="C9" s="405">
        <v>43.575265530853933</v>
      </c>
      <c r="D9" s="405">
        <v>38.01376959395656</v>
      </c>
      <c r="E9" s="405">
        <v>40.405733583180989</v>
      </c>
      <c r="F9" s="405">
        <v>54.622503320968029</v>
      </c>
      <c r="G9" s="432"/>
    </row>
    <row r="10" spans="1:9">
      <c r="A10" s="162" t="s">
        <v>382</v>
      </c>
      <c r="B10" s="34">
        <v>3.1</v>
      </c>
      <c r="C10" s="34">
        <v>3</v>
      </c>
      <c r="D10" s="34">
        <v>3.3</v>
      </c>
      <c r="E10" s="34">
        <v>2.9</v>
      </c>
      <c r="F10" s="34">
        <v>2.5</v>
      </c>
      <c r="G10" s="432"/>
    </row>
    <row r="11" spans="1:9">
      <c r="A11" s="162" t="s">
        <v>419</v>
      </c>
      <c r="B11" s="414"/>
      <c r="C11" s="414"/>
      <c r="D11" s="414"/>
      <c r="E11" s="414"/>
      <c r="F11" s="405">
        <v>72.96346840226748</v>
      </c>
      <c r="G11" s="433"/>
    </row>
    <row r="12" spans="1:9">
      <c r="A12" s="162" t="s">
        <v>434</v>
      </c>
      <c r="B12" s="414"/>
      <c r="C12" s="414"/>
      <c r="D12" s="414"/>
      <c r="E12" s="414"/>
      <c r="F12" s="405">
        <v>26.126126126126124</v>
      </c>
      <c r="G12" s="433"/>
    </row>
    <row r="13" spans="1:9">
      <c r="A13" s="162" t="s">
        <v>435</v>
      </c>
      <c r="B13" s="414"/>
      <c r="C13" s="414"/>
      <c r="D13" s="414"/>
      <c r="E13" s="414"/>
      <c r="F13" s="405">
        <v>57.957244655581952</v>
      </c>
      <c r="G13" s="433"/>
    </row>
    <row r="14" spans="1:9">
      <c r="A14" s="162" t="s">
        <v>436</v>
      </c>
      <c r="B14" s="414"/>
      <c r="C14" s="414"/>
      <c r="D14" s="414"/>
      <c r="E14" s="414"/>
      <c r="F14" s="405">
        <v>79.046424090338775</v>
      </c>
      <c r="G14" s="433"/>
    </row>
    <row r="15" spans="1:9">
      <c r="A15" s="162" t="s">
        <v>437</v>
      </c>
      <c r="B15" s="414"/>
      <c r="C15" s="414"/>
      <c r="D15" s="414"/>
      <c r="E15" s="414"/>
      <c r="F15" s="405">
        <v>22.43839169909209</v>
      </c>
      <c r="G15" s="433"/>
    </row>
    <row r="16" spans="1:9">
      <c r="A16" s="162" t="s">
        <v>438</v>
      </c>
      <c r="B16" s="414"/>
      <c r="C16" s="414"/>
      <c r="D16" s="414"/>
      <c r="E16" s="414"/>
      <c r="F16" s="405">
        <v>48.829431438127088</v>
      </c>
      <c r="G16" s="433"/>
    </row>
    <row r="17" spans="1:7">
      <c r="A17" s="16" t="s">
        <v>17</v>
      </c>
      <c r="B17" s="409"/>
      <c r="C17" s="409"/>
      <c r="D17" s="409"/>
      <c r="E17" s="409"/>
      <c r="F17" s="409"/>
      <c r="G17" s="410"/>
    </row>
    <row r="18" spans="1:7">
      <c r="A18" s="162" t="s">
        <v>383</v>
      </c>
      <c r="B18" s="34">
        <v>47.1</v>
      </c>
      <c r="C18" s="34">
        <v>49.2</v>
      </c>
      <c r="D18" s="34">
        <v>53.6</v>
      </c>
      <c r="E18" s="34">
        <v>52.9</v>
      </c>
      <c r="F18" s="34">
        <v>46.5</v>
      </c>
      <c r="G18" s="412">
        <v>94.8</v>
      </c>
    </row>
    <row r="19" spans="1:7">
      <c r="A19" s="162" t="s">
        <v>384</v>
      </c>
      <c r="B19" s="34">
        <v>87.9</v>
      </c>
      <c r="C19" s="34">
        <v>90.3</v>
      </c>
      <c r="D19" s="34">
        <v>87.7</v>
      </c>
      <c r="E19" s="34">
        <v>88.8</v>
      </c>
      <c r="F19" s="34">
        <v>89.9</v>
      </c>
      <c r="G19" s="412">
        <v>88.7</v>
      </c>
    </row>
    <row r="20" spans="1:7">
      <c r="A20" s="162" t="s">
        <v>385</v>
      </c>
      <c r="B20" s="34">
        <v>112.9</v>
      </c>
      <c r="C20" s="34">
        <v>154.4</v>
      </c>
      <c r="D20" s="34">
        <v>141.30000000000001</v>
      </c>
      <c r="E20" s="34">
        <v>153.5</v>
      </c>
      <c r="F20" s="34">
        <v>104.1</v>
      </c>
      <c r="G20" s="454">
        <v>110</v>
      </c>
    </row>
    <row r="21" spans="1:7">
      <c r="A21" s="162" t="s">
        <v>386</v>
      </c>
      <c r="B21" s="34">
        <v>47.1</v>
      </c>
      <c r="C21" s="34">
        <v>49.2</v>
      </c>
      <c r="D21" s="34">
        <v>53.6</v>
      </c>
      <c r="E21" s="34">
        <v>52.9</v>
      </c>
      <c r="F21" s="34">
        <v>46.5</v>
      </c>
      <c r="G21" s="412">
        <v>49.3</v>
      </c>
    </row>
    <row r="22" spans="1:7">
      <c r="A22" s="16" t="s">
        <v>387</v>
      </c>
      <c r="B22" s="409"/>
      <c r="C22" s="409"/>
      <c r="D22" s="409"/>
      <c r="E22" s="409"/>
      <c r="F22" s="409"/>
      <c r="G22" s="410"/>
    </row>
    <row r="23" spans="1:7">
      <c r="A23" s="162" t="s">
        <v>388</v>
      </c>
      <c r="B23" s="405">
        <v>2.7382357173694056</v>
      </c>
      <c r="C23" s="405">
        <v>3.0188658269502286</v>
      </c>
      <c r="D23" s="405">
        <v>3.7446977343936894</v>
      </c>
      <c r="E23" s="405">
        <v>3.6617358948315948</v>
      </c>
      <c r="F23" s="405">
        <v>3.1620678970659504</v>
      </c>
      <c r="G23" s="406">
        <v>6.3849635238643563</v>
      </c>
    </row>
    <row r="24" spans="1:7">
      <c r="A24" s="162" t="s">
        <v>389</v>
      </c>
      <c r="B24" s="405">
        <v>88.402634310910216</v>
      </c>
      <c r="C24" s="405">
        <v>89.103920880132577</v>
      </c>
      <c r="D24" s="405">
        <v>88.090199220941116</v>
      </c>
      <c r="E24" s="405">
        <v>87.134049612199291</v>
      </c>
      <c r="F24" s="405">
        <v>91.702956381909544</v>
      </c>
      <c r="G24" s="406">
        <v>81.433617589316299</v>
      </c>
    </row>
    <row r="25" spans="1:7">
      <c r="A25" s="162" t="s">
        <v>390</v>
      </c>
      <c r="B25" s="405">
        <v>6.8322981366459627</v>
      </c>
      <c r="C25" s="405">
        <v>5.1240056153486195</v>
      </c>
      <c r="D25" s="405">
        <v>3.6423841059602649</v>
      </c>
      <c r="E25" s="405">
        <v>2.5151285930408473</v>
      </c>
      <c r="F25" s="405">
        <v>2.1310946076848563</v>
      </c>
      <c r="G25" s="416"/>
    </row>
    <row r="26" spans="1:7">
      <c r="A26" s="165" t="s">
        <v>391</v>
      </c>
      <c r="B26" s="413">
        <v>13.8</v>
      </c>
      <c r="C26" s="413">
        <v>10.7</v>
      </c>
      <c r="D26" s="413">
        <v>8.1</v>
      </c>
      <c r="E26" s="413">
        <v>5</v>
      </c>
      <c r="F26" s="413">
        <v>5.3</v>
      </c>
      <c r="G26" s="417"/>
    </row>
    <row r="28" spans="1:7">
      <c r="A28" s="34" t="s">
        <v>336</v>
      </c>
      <c r="B28" s="34" t="s">
        <v>423</v>
      </c>
      <c r="C28" s="34"/>
      <c r="D28" s="34"/>
      <c r="E28" s="34"/>
      <c r="F28" s="34"/>
      <c r="G28" s="34"/>
    </row>
    <row r="29" spans="1:7">
      <c r="A29" s="34" t="s">
        <v>421</v>
      </c>
      <c r="B29" s="34" t="s">
        <v>422</v>
      </c>
      <c r="C29" s="34"/>
      <c r="D29" s="34"/>
      <c r="E29" s="34"/>
      <c r="F29" s="34"/>
      <c r="G29" s="34"/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D0508943F2D4BA2A66F5A5881B351" ma:contentTypeVersion="6" ma:contentTypeDescription="Create a new document." ma:contentTypeScope="" ma:versionID="9c20d6d3186bdc35395fd1290c9f1970">
  <xsd:schema xmlns:xsd="http://www.w3.org/2001/XMLSchema" xmlns:xs="http://www.w3.org/2001/XMLSchema" xmlns:p="http://schemas.microsoft.com/office/2006/metadata/properties" xmlns:ns2="16ba0295-8c88-4b91-a1d2-bdaff1591471" xmlns:ns3="9e405f60-930b-48fa-8586-511c996476bb" targetNamespace="http://schemas.microsoft.com/office/2006/metadata/properties" ma:root="true" ma:fieldsID="e73d79e8246027fcc39fc87de01e1963" ns2:_="" ns3:_="">
    <xsd:import namespace="16ba0295-8c88-4b91-a1d2-bdaff1591471"/>
    <xsd:import namespace="9e405f60-930b-48fa-8586-511c99647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ba0295-8c88-4b91-a1d2-bdaff15914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5f60-930b-48fa-8586-511c99647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C5D6F1-6427-49E2-B27D-A66D615171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9DDAC0-7074-4A6B-B0C6-3D90F0F1BB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ba0295-8c88-4b91-a1d2-bdaff1591471"/>
    <ds:schemaRef ds:uri="9e405f60-930b-48fa-8586-511c99647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9757FE-CEB9-4701-BFE7-A7491A08CF49}">
  <ds:schemaRefs>
    <ds:schemaRef ds:uri="http://www.w3.org/XML/1998/namespace"/>
    <ds:schemaRef ds:uri="http://purl.org/dc/terms/"/>
    <ds:schemaRef ds:uri="9e405f60-930b-48fa-8586-511c996476bb"/>
    <ds:schemaRef ds:uri="http://schemas.microsoft.com/office/2006/metadata/properties"/>
    <ds:schemaRef ds:uri="16ba0295-8c88-4b91-a1d2-bdaff1591471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5</vt:i4>
      </vt:variant>
    </vt:vector>
  </HeadingPairs>
  <TitlesOfParts>
    <vt:vector size="50" baseType="lpstr">
      <vt:lpstr>NBFIRA2024 STATISTICAL BULLETIN</vt:lpstr>
      <vt:lpstr>Contents</vt:lpstr>
      <vt:lpstr>Mandate</vt:lpstr>
      <vt:lpstr>2.1</vt:lpstr>
      <vt:lpstr>2.2</vt:lpstr>
      <vt:lpstr>2.3</vt:lpstr>
      <vt:lpstr>2.4</vt:lpstr>
      <vt:lpstr>2.5</vt:lpstr>
      <vt:lpstr>2.6</vt:lpstr>
      <vt:lpstr>3.01</vt:lpstr>
      <vt:lpstr>3.02</vt:lpstr>
      <vt:lpstr>3.03</vt:lpstr>
      <vt:lpstr>3.04</vt:lpstr>
      <vt:lpstr>3.11</vt:lpstr>
      <vt:lpstr>3.12</vt:lpstr>
      <vt:lpstr>3.21</vt:lpstr>
      <vt:lpstr>3.22</vt:lpstr>
      <vt:lpstr>3.31</vt:lpstr>
      <vt:lpstr>3.32</vt:lpstr>
      <vt:lpstr>3.41</vt:lpstr>
      <vt:lpstr>3.42</vt:lpstr>
      <vt:lpstr>3.51</vt:lpstr>
      <vt:lpstr>3.52</vt:lpstr>
      <vt:lpstr>4.11</vt:lpstr>
      <vt:lpstr>4.12</vt:lpstr>
      <vt:lpstr>4.13</vt:lpstr>
      <vt:lpstr>4.14</vt:lpstr>
      <vt:lpstr>5.01</vt:lpstr>
      <vt:lpstr>5.02</vt:lpstr>
      <vt:lpstr>5.03</vt:lpstr>
      <vt:lpstr>5.04</vt:lpstr>
      <vt:lpstr>5.11</vt:lpstr>
      <vt:lpstr>5.12</vt:lpstr>
      <vt:lpstr>5.13</vt:lpstr>
      <vt:lpstr>5.14</vt:lpstr>
      <vt:lpstr>5.15</vt:lpstr>
      <vt:lpstr>5.16</vt:lpstr>
      <vt:lpstr>5.17</vt:lpstr>
      <vt:lpstr>5.18</vt:lpstr>
      <vt:lpstr>6.01</vt:lpstr>
      <vt:lpstr>6.02</vt:lpstr>
      <vt:lpstr>6.03</vt:lpstr>
      <vt:lpstr>6.04</vt:lpstr>
      <vt:lpstr>6.05</vt:lpstr>
      <vt:lpstr>NBFIRAContacts</vt:lpstr>
      <vt:lpstr>Mandate!_Toc109903850</vt:lpstr>
      <vt:lpstr>Mandate!_Toc109903851</vt:lpstr>
      <vt:lpstr>Mandate!_Toc109903852</vt:lpstr>
      <vt:lpstr>Mandate!_Toc109903853</vt:lpstr>
      <vt:lpstr>Mandate!_Toc109903854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Kelesego Mmolainyane (via Academy)</dc:creator>
  <cp:keywords/>
  <dc:description/>
  <cp:lastModifiedBy>Kelesego Mmolainyane</cp:lastModifiedBy>
  <cp:revision/>
  <dcterms:created xsi:type="dcterms:W3CDTF">2023-10-17T09:27:23Z</dcterms:created>
  <dcterms:modified xsi:type="dcterms:W3CDTF">2024-11-18T14:34:20Z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0x010100C6ED0508943F2D4BA2A66F5A5881B351</vt:lpwstr>
  </property>
</Properties>
</file>